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harts/chart2.xml" ContentType="application/vnd.openxmlformats-officedocument.drawingml.chart+xml"/>
  <Override PartName="/xl/charts/chart3.xml" ContentType="application/vnd.openxmlformats-officedocument.drawingml.chart+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mc:AlternateContent xmlns:mc="http://schemas.openxmlformats.org/markup-compatibility/2006">
    <mc:Choice Requires="x15">
      <x15ac:absPath xmlns:x15ac="http://schemas.microsoft.com/office/spreadsheetml/2010/11/ac" url="https://appriver3651005261.sharepoint.com/sites/FactBook2020updates/Shared Documents/FactBooks/3_Completion/"/>
    </mc:Choice>
  </mc:AlternateContent>
  <xr:revisionPtr revIDLastSave="272" documentId="8_{1CE98A18-2707-4B1C-8904-98AAAE9AB28B}" xr6:coauthVersionLast="47" xr6:coauthVersionMax="47" xr10:uidLastSave="{D7F64A01-AB37-4BBC-9E24-AE5691092142}"/>
  <bookViews>
    <workbookView xWindow="28680" yWindow="-120" windowWidth="29040" windowHeight="15840" tabRatio="704" xr2:uid="{00000000-000D-0000-FFFF-FFFF00000000}"/>
  </bookViews>
  <sheets>
    <sheet name="TABLE 57" sheetId="10" r:id="rId1"/>
    <sheet name="Total Doctorates" sheetId="4" r:id="rId2"/>
    <sheet name="Public" sheetId="5" r:id="rId3"/>
    <sheet name="Gender" sheetId="1" r:id="rId4"/>
    <sheet name="all race" sheetId="8" r:id="rId5"/>
    <sheet name="black" sheetId="7" r:id="rId6"/>
    <sheet name="Hispanic &amp; Non-resident" sheetId="6" r:id="rId7"/>
    <sheet name="Women as a % of Total" sheetId="9" r:id="rId8"/>
  </sheets>
  <definedNames>
    <definedName name="__123Graph_A" localSheetId="0" hidden="1">Gender!#REF!</definedName>
    <definedName name="__123Graph_A" hidden="1">Gender!#REF!</definedName>
    <definedName name="__123Graph_LBL_A" localSheetId="0" hidden="1">Gender!#REF!</definedName>
    <definedName name="__123Graph_LBL_A" hidden="1">Gender!#REF!</definedName>
    <definedName name="__123Graph_X" localSheetId="0" hidden="1">Gender!#REF!</definedName>
    <definedName name="__123Graph_X" hidden="1">Gender!#REF!</definedName>
    <definedName name="_1__123Graph_ADOC" localSheetId="0" hidden="1">Gender!#REF!</definedName>
    <definedName name="_1__123Graph_ADOC" hidden="1">Gender!#REF!</definedName>
    <definedName name="_2__123Graph_ADOC" localSheetId="0" hidden="1">Gender!#REF!</definedName>
    <definedName name="_2__123Graph_ADOC" hidden="1">Gender!#REF!</definedName>
    <definedName name="_3__123Graph_LBL_ADOC" localSheetId="0" hidden="1">Gender!#REF!</definedName>
    <definedName name="_3__123Graph_LBL_ADOC" hidden="1">Gender!#REF!</definedName>
    <definedName name="_4__123Graph_LBL_ADOC" localSheetId="0" hidden="1">Gender!#REF!</definedName>
    <definedName name="_4__123Graph_LBL_ADOC" hidden="1">Gender!#REF!</definedName>
    <definedName name="_5__123Graph_XDOC" localSheetId="0" hidden="1">Gender!#REF!</definedName>
    <definedName name="_5__123Graph_XDOC" hidden="1">Gender!#REF!</definedName>
    <definedName name="_6__123Graph_XDOC" localSheetId="0" hidden="1">Gender!#REF!</definedName>
    <definedName name="_6__123Graph_XDOC" hidden="1">Gender!#REF!</definedName>
    <definedName name="A" localSheetId="0">Gender!#REF!</definedName>
    <definedName name="A">Gender!#REF!</definedName>
    <definedName name="DATA">Gender!$A$1</definedName>
    <definedName name="_xlnm.Print_Area" localSheetId="0">'TABLE 57'!$A$1:$P$72</definedName>
    <definedName name="TABLE" localSheetId="0">'TABLE 57'!$A$1:$F$72</definedName>
    <definedName name="TABL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M5" i="4" l="1"/>
  <c r="U5" i="10"/>
  <c r="N66" i="10"/>
  <c r="N61" i="10"/>
  <c r="N41" i="10"/>
  <c r="N67" i="10"/>
  <c r="N65" i="10"/>
  <c r="N64" i="10"/>
  <c r="N63" i="10"/>
  <c r="N62" i="10"/>
  <c r="N60" i="10"/>
  <c r="N59" i="10"/>
  <c r="N58" i="10"/>
  <c r="N56" i="10"/>
  <c r="N55" i="10"/>
  <c r="N54" i="10"/>
  <c r="N53" i="10"/>
  <c r="N52" i="10"/>
  <c r="N51" i="10"/>
  <c r="N50" i="10"/>
  <c r="N49" i="10"/>
  <c r="N48" i="10"/>
  <c r="N47" i="10"/>
  <c r="N46" i="10"/>
  <c r="N45" i="10"/>
  <c r="N44" i="10"/>
  <c r="N42" i="10"/>
  <c r="N40" i="10"/>
  <c r="N39" i="10"/>
  <c r="N38" i="10"/>
  <c r="N37" i="10"/>
  <c r="N36" i="10"/>
  <c r="N35" i="10"/>
  <c r="N34" i="10"/>
  <c r="N33" i="10"/>
  <c r="N32" i="10"/>
  <c r="N31" i="10"/>
  <c r="N30" i="10"/>
  <c r="N29" i="10"/>
  <c r="N27" i="10"/>
  <c r="N26" i="10"/>
  <c r="N25" i="10"/>
  <c r="N24" i="10"/>
  <c r="N23" i="10"/>
  <c r="N22" i="10"/>
  <c r="N21" i="10"/>
  <c r="N20" i="10"/>
  <c r="N19" i="10"/>
  <c r="N18" i="10"/>
  <c r="N17" i="10"/>
  <c r="N16" i="10"/>
  <c r="N15" i="10"/>
  <c r="N14" i="10"/>
  <c r="N13" i="10"/>
  <c r="N12" i="10"/>
  <c r="N11" i="10"/>
  <c r="N9" i="10"/>
  <c r="N8" i="10"/>
  <c r="P67" i="10"/>
  <c r="M67" i="10"/>
  <c r="P66" i="10"/>
  <c r="M66" i="10"/>
  <c r="P65" i="10"/>
  <c r="M65" i="10"/>
  <c r="P64" i="10"/>
  <c r="M64" i="10"/>
  <c r="P63" i="10"/>
  <c r="M63" i="10"/>
  <c r="P62" i="10"/>
  <c r="M62" i="10"/>
  <c r="P61" i="10"/>
  <c r="M61" i="10"/>
  <c r="P60" i="10"/>
  <c r="M60" i="10"/>
  <c r="P59" i="10"/>
  <c r="M59" i="10"/>
  <c r="P58" i="10"/>
  <c r="M58" i="10"/>
  <c r="P56" i="10"/>
  <c r="M56" i="10"/>
  <c r="P55" i="10"/>
  <c r="M55" i="10"/>
  <c r="P54" i="10"/>
  <c r="M54" i="10"/>
  <c r="P53" i="10"/>
  <c r="M53" i="10"/>
  <c r="P52" i="10"/>
  <c r="M52" i="10"/>
  <c r="P51" i="10"/>
  <c r="M51" i="10"/>
  <c r="P50" i="10"/>
  <c r="M50" i="10"/>
  <c r="P49" i="10"/>
  <c r="M49" i="10"/>
  <c r="P48" i="10"/>
  <c r="M48" i="10"/>
  <c r="P47" i="10"/>
  <c r="M47" i="10"/>
  <c r="P46" i="10"/>
  <c r="M46" i="10"/>
  <c r="P45" i="10"/>
  <c r="M45" i="10"/>
  <c r="P44" i="10"/>
  <c r="M44" i="10"/>
  <c r="P42" i="10"/>
  <c r="M42" i="10"/>
  <c r="P41" i="10"/>
  <c r="M41" i="10"/>
  <c r="P40" i="10"/>
  <c r="M40" i="10"/>
  <c r="P39" i="10"/>
  <c r="M39" i="10"/>
  <c r="P38" i="10"/>
  <c r="M38" i="10"/>
  <c r="P37" i="10"/>
  <c r="M37" i="10"/>
  <c r="P36" i="10"/>
  <c r="M36" i="10"/>
  <c r="P35" i="10"/>
  <c r="M35" i="10"/>
  <c r="P34" i="10"/>
  <c r="M34" i="10"/>
  <c r="P33" i="10"/>
  <c r="M33" i="10"/>
  <c r="P32" i="10"/>
  <c r="M32" i="10"/>
  <c r="P31" i="10"/>
  <c r="M31" i="10"/>
  <c r="P30" i="10"/>
  <c r="M30" i="10"/>
  <c r="P29" i="10"/>
  <c r="M29" i="10"/>
  <c r="P27" i="10"/>
  <c r="M27" i="10"/>
  <c r="P26" i="10"/>
  <c r="M26" i="10"/>
  <c r="P25" i="10"/>
  <c r="M25" i="10"/>
  <c r="P24" i="10"/>
  <c r="M24" i="10"/>
  <c r="P23" i="10"/>
  <c r="M23" i="10"/>
  <c r="P22" i="10"/>
  <c r="M22" i="10"/>
  <c r="P21" i="10"/>
  <c r="M21" i="10"/>
  <c r="P20" i="10"/>
  <c r="M20" i="10"/>
  <c r="P19" i="10"/>
  <c r="M19" i="10"/>
  <c r="P18" i="10"/>
  <c r="M18" i="10"/>
  <c r="P17" i="10"/>
  <c r="M17" i="10"/>
  <c r="P16" i="10"/>
  <c r="M16" i="10"/>
  <c r="P15" i="10"/>
  <c r="M15" i="10"/>
  <c r="P14" i="10"/>
  <c r="M14" i="10"/>
  <c r="P13" i="10"/>
  <c r="M13" i="10"/>
  <c r="P12" i="10"/>
  <c r="M12" i="10"/>
  <c r="P11" i="10"/>
  <c r="M11" i="10"/>
  <c r="P9" i="10"/>
  <c r="M9" i="10"/>
  <c r="P8" i="10"/>
  <c r="M8" i="10"/>
  <c r="L29" i="10"/>
  <c r="L67" i="10"/>
  <c r="L66" i="10"/>
  <c r="L65" i="10"/>
  <c r="L64" i="10"/>
  <c r="L63" i="10"/>
  <c r="L62" i="10"/>
  <c r="L61" i="10"/>
  <c r="L60" i="10"/>
  <c r="L59" i="10"/>
  <c r="L58" i="10"/>
  <c r="L56" i="10"/>
  <c r="L55" i="10"/>
  <c r="L54" i="10"/>
  <c r="L53" i="10"/>
  <c r="L52" i="10"/>
  <c r="L51" i="10"/>
  <c r="L50" i="10"/>
  <c r="L49" i="10"/>
  <c r="L48" i="10"/>
  <c r="L47" i="10"/>
  <c r="L46" i="10"/>
  <c r="L45" i="10"/>
  <c r="L44" i="10"/>
  <c r="L42" i="10"/>
  <c r="L41" i="10"/>
  <c r="L40" i="10"/>
  <c r="L39" i="10"/>
  <c r="L38" i="10"/>
  <c r="L37" i="10"/>
  <c r="L36" i="10"/>
  <c r="L35" i="10"/>
  <c r="L34" i="10"/>
  <c r="L33" i="10"/>
  <c r="L32" i="10"/>
  <c r="L31" i="10"/>
  <c r="L30" i="10"/>
  <c r="L27" i="10"/>
  <c r="L26" i="10"/>
  <c r="L25" i="10"/>
  <c r="L24" i="10"/>
  <c r="L23" i="10"/>
  <c r="L22" i="10"/>
  <c r="L21" i="10"/>
  <c r="L20" i="10"/>
  <c r="L19" i="10"/>
  <c r="L18" i="10"/>
  <c r="L17" i="10"/>
  <c r="L16" i="10"/>
  <c r="L15" i="10"/>
  <c r="L14" i="10"/>
  <c r="L13" i="10"/>
  <c r="L12" i="10"/>
  <c r="L11" i="10"/>
  <c r="L9" i="10"/>
  <c r="L8" i="10"/>
  <c r="J67" i="10"/>
  <c r="J66" i="10"/>
  <c r="J65" i="10"/>
  <c r="J64" i="10"/>
  <c r="J63" i="10"/>
  <c r="J62" i="10"/>
  <c r="J61" i="10"/>
  <c r="J60" i="10"/>
  <c r="J59" i="10"/>
  <c r="J58" i="10"/>
  <c r="J56" i="10"/>
  <c r="J55" i="10"/>
  <c r="J54" i="10"/>
  <c r="J53" i="10"/>
  <c r="J52" i="10"/>
  <c r="J51" i="10"/>
  <c r="J50" i="10"/>
  <c r="J49" i="10"/>
  <c r="J48" i="10"/>
  <c r="J47" i="10"/>
  <c r="J46" i="10"/>
  <c r="J45" i="10"/>
  <c r="J44" i="10"/>
  <c r="J42" i="10"/>
  <c r="J41" i="10"/>
  <c r="J40" i="10"/>
  <c r="J39" i="10"/>
  <c r="J38" i="10"/>
  <c r="J37" i="10"/>
  <c r="J36" i="10"/>
  <c r="J35" i="10"/>
  <c r="J34" i="10"/>
  <c r="J33" i="10"/>
  <c r="J32" i="10"/>
  <c r="J31" i="10"/>
  <c r="J30" i="10"/>
  <c r="J29" i="10"/>
  <c r="J27" i="10"/>
  <c r="J26" i="10"/>
  <c r="J25" i="10"/>
  <c r="J24" i="10"/>
  <c r="J23" i="10"/>
  <c r="J22" i="10"/>
  <c r="J21" i="10"/>
  <c r="J20" i="10"/>
  <c r="J19" i="10"/>
  <c r="J18" i="10"/>
  <c r="J17" i="10"/>
  <c r="J16" i="10"/>
  <c r="J15" i="10"/>
  <c r="J14" i="10"/>
  <c r="J13" i="10"/>
  <c r="J12" i="10"/>
  <c r="J11" i="10"/>
  <c r="J9" i="10"/>
  <c r="J8" i="10"/>
  <c r="H67" i="10"/>
  <c r="H66" i="10"/>
  <c r="H65" i="10"/>
  <c r="H64" i="10"/>
  <c r="H63" i="10"/>
  <c r="H62" i="10"/>
  <c r="H61" i="10"/>
  <c r="H60" i="10"/>
  <c r="H59" i="10"/>
  <c r="H58" i="10"/>
  <c r="H56" i="10"/>
  <c r="H55" i="10"/>
  <c r="H54" i="10"/>
  <c r="H53" i="10"/>
  <c r="H52" i="10"/>
  <c r="H51" i="10"/>
  <c r="H50" i="10"/>
  <c r="H49" i="10"/>
  <c r="H48" i="10"/>
  <c r="H47" i="10"/>
  <c r="H46" i="10"/>
  <c r="H45" i="10"/>
  <c r="H44" i="10"/>
  <c r="H42" i="10"/>
  <c r="H41" i="10"/>
  <c r="H40" i="10"/>
  <c r="H39" i="10"/>
  <c r="H38" i="10"/>
  <c r="H37" i="10"/>
  <c r="H36" i="10"/>
  <c r="H35" i="10"/>
  <c r="H34" i="10"/>
  <c r="H33" i="10"/>
  <c r="H32" i="10"/>
  <c r="H31" i="10"/>
  <c r="H30" i="10"/>
  <c r="H29" i="10"/>
  <c r="H27" i="10"/>
  <c r="H26" i="10"/>
  <c r="H25" i="10"/>
  <c r="H24" i="10"/>
  <c r="H23" i="10"/>
  <c r="H22" i="10"/>
  <c r="H21" i="10"/>
  <c r="H20" i="10"/>
  <c r="H19" i="10"/>
  <c r="H18" i="10"/>
  <c r="H17" i="10"/>
  <c r="H16" i="10"/>
  <c r="H15" i="10"/>
  <c r="H14" i="10"/>
  <c r="H13" i="10"/>
  <c r="H12" i="10"/>
  <c r="H11" i="10"/>
  <c r="H9" i="10"/>
  <c r="H8" i="10"/>
  <c r="G67" i="10"/>
  <c r="G66" i="10"/>
  <c r="G65" i="10"/>
  <c r="G64" i="10"/>
  <c r="G63" i="10"/>
  <c r="G62" i="10"/>
  <c r="G61" i="10"/>
  <c r="G60" i="10"/>
  <c r="G59" i="10"/>
  <c r="G58" i="10"/>
  <c r="G56" i="10"/>
  <c r="G55" i="10"/>
  <c r="G54" i="10"/>
  <c r="G53" i="10"/>
  <c r="G52" i="10"/>
  <c r="G51" i="10"/>
  <c r="G50" i="10"/>
  <c r="G49" i="10"/>
  <c r="G48" i="10"/>
  <c r="G47" i="10"/>
  <c r="G46" i="10"/>
  <c r="G45" i="10"/>
  <c r="G44" i="10"/>
  <c r="G42" i="10"/>
  <c r="G41" i="10"/>
  <c r="G40" i="10"/>
  <c r="G39" i="10"/>
  <c r="G38" i="10"/>
  <c r="G37" i="10"/>
  <c r="G36" i="10"/>
  <c r="G35" i="10"/>
  <c r="G34" i="10"/>
  <c r="G33" i="10"/>
  <c r="G32" i="10"/>
  <c r="G31" i="10"/>
  <c r="G30" i="10"/>
  <c r="G29" i="10"/>
  <c r="G27" i="10"/>
  <c r="G26" i="10"/>
  <c r="G25" i="10"/>
  <c r="G24" i="10"/>
  <c r="G23" i="10"/>
  <c r="G22" i="10"/>
  <c r="G21" i="10"/>
  <c r="G20" i="10"/>
  <c r="G19" i="10"/>
  <c r="G18" i="10"/>
  <c r="G17" i="10"/>
  <c r="G16" i="10"/>
  <c r="G15" i="10"/>
  <c r="G14" i="10"/>
  <c r="G13" i="10"/>
  <c r="G12" i="10"/>
  <c r="G11" i="10"/>
  <c r="G9" i="10"/>
  <c r="G8" i="10"/>
  <c r="O67" i="10"/>
  <c r="K67" i="10"/>
  <c r="F67" i="10"/>
  <c r="O66" i="10"/>
  <c r="K66" i="10"/>
  <c r="F66" i="10"/>
  <c r="O65" i="10"/>
  <c r="K65" i="10"/>
  <c r="F65" i="10"/>
  <c r="O64" i="10"/>
  <c r="K64" i="10"/>
  <c r="F64" i="10"/>
  <c r="O63" i="10"/>
  <c r="K63" i="10"/>
  <c r="F63" i="10"/>
  <c r="O62" i="10"/>
  <c r="K62" i="10"/>
  <c r="F62" i="10"/>
  <c r="O61" i="10"/>
  <c r="K61" i="10"/>
  <c r="F61" i="10"/>
  <c r="O60" i="10"/>
  <c r="K60" i="10"/>
  <c r="F60" i="10"/>
  <c r="O59" i="10"/>
  <c r="K59" i="10"/>
  <c r="F59" i="10"/>
  <c r="O58" i="10"/>
  <c r="K58" i="10"/>
  <c r="F58" i="10"/>
  <c r="O56" i="10"/>
  <c r="K56" i="10"/>
  <c r="F56" i="10"/>
  <c r="O55" i="10"/>
  <c r="K55" i="10"/>
  <c r="F55" i="10"/>
  <c r="O54" i="10"/>
  <c r="K54" i="10"/>
  <c r="F54" i="10"/>
  <c r="O53" i="10"/>
  <c r="K53" i="10"/>
  <c r="F53" i="10"/>
  <c r="O52" i="10"/>
  <c r="K52" i="10"/>
  <c r="F52" i="10"/>
  <c r="O51" i="10"/>
  <c r="K51" i="10"/>
  <c r="F51" i="10"/>
  <c r="O50" i="10"/>
  <c r="K50" i="10"/>
  <c r="F50" i="10"/>
  <c r="O49" i="10"/>
  <c r="K49" i="10"/>
  <c r="F49" i="10"/>
  <c r="O48" i="10"/>
  <c r="K48" i="10"/>
  <c r="F48" i="10"/>
  <c r="O47" i="10"/>
  <c r="K47" i="10"/>
  <c r="F47" i="10"/>
  <c r="O46" i="10"/>
  <c r="K46" i="10"/>
  <c r="F46" i="10"/>
  <c r="O45" i="10"/>
  <c r="K45" i="10"/>
  <c r="F45" i="10"/>
  <c r="O44" i="10"/>
  <c r="K44" i="10"/>
  <c r="F44" i="10"/>
  <c r="O42" i="10"/>
  <c r="K42" i="10"/>
  <c r="F42" i="10"/>
  <c r="O41" i="10"/>
  <c r="K41" i="10"/>
  <c r="F41" i="10"/>
  <c r="O40" i="10"/>
  <c r="K40" i="10"/>
  <c r="F40" i="10"/>
  <c r="O39" i="10"/>
  <c r="K39" i="10"/>
  <c r="F39" i="10"/>
  <c r="O38" i="10"/>
  <c r="K38" i="10"/>
  <c r="F38" i="10"/>
  <c r="O37" i="10"/>
  <c r="K37" i="10"/>
  <c r="F37" i="10"/>
  <c r="O36" i="10"/>
  <c r="K36" i="10"/>
  <c r="F36" i="10"/>
  <c r="O35" i="10"/>
  <c r="K35" i="10"/>
  <c r="F35" i="10"/>
  <c r="O34" i="10"/>
  <c r="K34" i="10"/>
  <c r="F34" i="10"/>
  <c r="O33" i="10"/>
  <c r="K33" i="10"/>
  <c r="F33" i="10"/>
  <c r="O32" i="10"/>
  <c r="K32" i="10"/>
  <c r="F32" i="10"/>
  <c r="O31" i="10"/>
  <c r="K31" i="10"/>
  <c r="F31" i="10"/>
  <c r="O30" i="10"/>
  <c r="K30" i="10"/>
  <c r="F30" i="10"/>
  <c r="O29" i="10"/>
  <c r="K29" i="10"/>
  <c r="F29" i="10"/>
  <c r="O27" i="10"/>
  <c r="K27" i="10"/>
  <c r="F27" i="10"/>
  <c r="O26" i="10"/>
  <c r="K26" i="10"/>
  <c r="F26" i="10"/>
  <c r="O25" i="10"/>
  <c r="K25" i="10"/>
  <c r="F25" i="10"/>
  <c r="O24" i="10"/>
  <c r="K24" i="10"/>
  <c r="F24" i="10"/>
  <c r="O23" i="10"/>
  <c r="K23" i="10"/>
  <c r="F23" i="10"/>
  <c r="O22" i="10"/>
  <c r="K22" i="10"/>
  <c r="F22" i="10"/>
  <c r="O21" i="10"/>
  <c r="K21" i="10"/>
  <c r="F21" i="10"/>
  <c r="O20" i="10"/>
  <c r="K20" i="10"/>
  <c r="F20" i="10"/>
  <c r="O19" i="10"/>
  <c r="K19" i="10"/>
  <c r="F19" i="10"/>
  <c r="O18" i="10"/>
  <c r="K18" i="10"/>
  <c r="F18" i="10"/>
  <c r="O17" i="10"/>
  <c r="K17" i="10"/>
  <c r="F17" i="10"/>
  <c r="O16" i="10"/>
  <c r="K16" i="10"/>
  <c r="F16" i="10"/>
  <c r="O15" i="10"/>
  <c r="K15" i="10"/>
  <c r="F15" i="10"/>
  <c r="O14" i="10"/>
  <c r="K14" i="10"/>
  <c r="F14" i="10"/>
  <c r="O13" i="10"/>
  <c r="K13" i="10"/>
  <c r="F13" i="10"/>
  <c r="O12" i="10"/>
  <c r="K12" i="10"/>
  <c r="F12" i="10"/>
  <c r="O11" i="10"/>
  <c r="K11" i="10"/>
  <c r="F11" i="10"/>
  <c r="O9" i="10"/>
  <c r="K9" i="10"/>
  <c r="F9" i="10"/>
  <c r="O8" i="10"/>
  <c r="K8" i="10"/>
  <c r="F8" i="10"/>
  <c r="E67" i="10"/>
  <c r="E66" i="10"/>
  <c r="E65" i="10"/>
  <c r="E64" i="10"/>
  <c r="E63" i="10"/>
  <c r="E62" i="10"/>
  <c r="E61" i="10"/>
  <c r="E60" i="10"/>
  <c r="E59" i="10"/>
  <c r="E58" i="10"/>
  <c r="E56" i="10"/>
  <c r="E55" i="10"/>
  <c r="E54" i="10"/>
  <c r="E53" i="10"/>
  <c r="E52" i="10"/>
  <c r="E51" i="10"/>
  <c r="E50" i="10"/>
  <c r="E49" i="10"/>
  <c r="E48" i="10"/>
  <c r="E47" i="10"/>
  <c r="E46" i="10"/>
  <c r="E45" i="10"/>
  <c r="E44" i="10"/>
  <c r="E42" i="10"/>
  <c r="E41" i="10"/>
  <c r="E40" i="10"/>
  <c r="E39" i="10"/>
  <c r="E38" i="10"/>
  <c r="E37" i="10"/>
  <c r="E36" i="10"/>
  <c r="E35" i="10"/>
  <c r="E34" i="10"/>
  <c r="E33" i="10"/>
  <c r="E32" i="10"/>
  <c r="E31" i="10"/>
  <c r="E30" i="10"/>
  <c r="E29" i="10"/>
  <c r="E27" i="10"/>
  <c r="E26" i="10"/>
  <c r="E25" i="10"/>
  <c r="E24" i="10"/>
  <c r="E23" i="10"/>
  <c r="E22" i="10"/>
  <c r="E21" i="10"/>
  <c r="E20" i="10"/>
  <c r="E19" i="10"/>
  <c r="E18" i="10"/>
  <c r="E17" i="10"/>
  <c r="E16" i="10"/>
  <c r="E15" i="10"/>
  <c r="E14" i="10"/>
  <c r="E13" i="10"/>
  <c r="E12" i="10"/>
  <c r="E11" i="10"/>
  <c r="E9" i="10"/>
  <c r="E8" i="10"/>
  <c r="I67" i="10"/>
  <c r="D67" i="10"/>
  <c r="I66" i="10"/>
  <c r="D66" i="10"/>
  <c r="I65" i="10"/>
  <c r="D65" i="10"/>
  <c r="I64" i="10"/>
  <c r="D64" i="10"/>
  <c r="I63" i="10"/>
  <c r="D63" i="10"/>
  <c r="I62" i="10"/>
  <c r="D62" i="10"/>
  <c r="I61" i="10"/>
  <c r="D61" i="10"/>
  <c r="I60" i="10"/>
  <c r="D60" i="10"/>
  <c r="I59" i="10"/>
  <c r="D59" i="10"/>
  <c r="I58" i="10"/>
  <c r="D58" i="10"/>
  <c r="I56" i="10"/>
  <c r="D56" i="10"/>
  <c r="I55" i="10"/>
  <c r="D55" i="10"/>
  <c r="I54" i="10"/>
  <c r="D54" i="10"/>
  <c r="I53" i="10"/>
  <c r="D53" i="10"/>
  <c r="I52" i="10"/>
  <c r="D52" i="10"/>
  <c r="I51" i="10"/>
  <c r="D51" i="10"/>
  <c r="I50" i="10"/>
  <c r="D50" i="10"/>
  <c r="I49" i="10"/>
  <c r="D49" i="10"/>
  <c r="I48" i="10"/>
  <c r="D48" i="10"/>
  <c r="I47" i="10"/>
  <c r="D47" i="10"/>
  <c r="I46" i="10"/>
  <c r="D46" i="10"/>
  <c r="I45" i="10"/>
  <c r="D45" i="10"/>
  <c r="I44" i="10"/>
  <c r="D44" i="10"/>
  <c r="I42" i="10"/>
  <c r="D42" i="10"/>
  <c r="I41" i="10"/>
  <c r="D41" i="10"/>
  <c r="I40" i="10"/>
  <c r="D40" i="10"/>
  <c r="I39" i="10"/>
  <c r="D39" i="10"/>
  <c r="I38" i="10"/>
  <c r="D38" i="10"/>
  <c r="I37" i="10"/>
  <c r="D37" i="10"/>
  <c r="I36" i="10"/>
  <c r="D36" i="10"/>
  <c r="I35" i="10"/>
  <c r="D35" i="10"/>
  <c r="I34" i="10"/>
  <c r="D34" i="10"/>
  <c r="I33" i="10"/>
  <c r="D33" i="10"/>
  <c r="I32" i="10"/>
  <c r="D32" i="10"/>
  <c r="I31" i="10"/>
  <c r="D31" i="10"/>
  <c r="I30" i="10"/>
  <c r="D30" i="10"/>
  <c r="I29" i="10"/>
  <c r="D29" i="10"/>
  <c r="I27" i="10"/>
  <c r="D27" i="10"/>
  <c r="I26" i="10"/>
  <c r="D26" i="10"/>
  <c r="I25" i="10"/>
  <c r="D25" i="10"/>
  <c r="I24" i="10"/>
  <c r="D24" i="10"/>
  <c r="I23" i="10"/>
  <c r="D23" i="10"/>
  <c r="I22" i="10"/>
  <c r="D22" i="10"/>
  <c r="I21" i="10"/>
  <c r="D21" i="10"/>
  <c r="I20" i="10"/>
  <c r="D20" i="10"/>
  <c r="I19" i="10"/>
  <c r="D19" i="10"/>
  <c r="I18" i="10"/>
  <c r="D18" i="10"/>
  <c r="I17" i="10"/>
  <c r="D17" i="10"/>
  <c r="I16" i="10"/>
  <c r="D16" i="10"/>
  <c r="I15" i="10"/>
  <c r="D15" i="10"/>
  <c r="I14" i="10"/>
  <c r="D14" i="10"/>
  <c r="I13" i="10"/>
  <c r="D13" i="10"/>
  <c r="I12" i="10"/>
  <c r="D12" i="10"/>
  <c r="I11" i="10"/>
  <c r="D11" i="10"/>
  <c r="I9" i="10"/>
  <c r="D9" i="10"/>
  <c r="I8" i="10"/>
  <c r="D8" i="10"/>
  <c r="C67" i="10"/>
  <c r="C66" i="10"/>
  <c r="C65" i="10"/>
  <c r="C64" i="10"/>
  <c r="C63" i="10"/>
  <c r="C62" i="10"/>
  <c r="C61" i="10"/>
  <c r="C60" i="10"/>
  <c r="C59" i="10"/>
  <c r="C58" i="10"/>
  <c r="C57" i="10"/>
  <c r="C56" i="10"/>
  <c r="C55" i="10"/>
  <c r="C54" i="10"/>
  <c r="C53" i="10"/>
  <c r="C52" i="10"/>
  <c r="C51" i="10"/>
  <c r="C50" i="10"/>
  <c r="C49" i="10"/>
  <c r="C48" i="10"/>
  <c r="C47" i="10"/>
  <c r="C46" i="10"/>
  <c r="C45" i="10"/>
  <c r="C44" i="10"/>
  <c r="C43" i="10"/>
  <c r="C42" i="10"/>
  <c r="C41" i="10"/>
  <c r="C40" i="10"/>
  <c r="C39" i="10"/>
  <c r="C38" i="10"/>
  <c r="C37" i="10"/>
  <c r="C36" i="10"/>
  <c r="C35" i="10"/>
  <c r="C34" i="10"/>
  <c r="C33" i="10"/>
  <c r="C32" i="10"/>
  <c r="C31" i="10"/>
  <c r="C30" i="10"/>
  <c r="C29" i="10"/>
  <c r="C28" i="10"/>
  <c r="C27" i="10"/>
  <c r="C26" i="10"/>
  <c r="C25" i="10"/>
  <c r="C24" i="10"/>
  <c r="C23" i="10"/>
  <c r="C22" i="10"/>
  <c r="C21" i="10"/>
  <c r="C20" i="10"/>
  <c r="C19" i="10"/>
  <c r="C18" i="10"/>
  <c r="C17" i="10"/>
  <c r="C16" i="10"/>
  <c r="C15" i="10"/>
  <c r="C14" i="10"/>
  <c r="C13" i="10"/>
  <c r="C12" i="10"/>
  <c r="C11" i="10"/>
  <c r="C10" i="10"/>
  <c r="C9" i="10"/>
  <c r="C8" i="10"/>
  <c r="AY52" i="1"/>
  <c r="AX52" i="1"/>
  <c r="AY38" i="1"/>
  <c r="AX38" i="1"/>
  <c r="AY23" i="1"/>
  <c r="AX23" i="1"/>
  <c r="AY5" i="1"/>
  <c r="AX5" i="1"/>
  <c r="AX6" i="9"/>
  <c r="AY6" i="9"/>
  <c r="AX7" i="9"/>
  <c r="AY7" i="9"/>
  <c r="AX8" i="9"/>
  <c r="AY8" i="9"/>
  <c r="AX9" i="9"/>
  <c r="AY9" i="9"/>
  <c r="AX10" i="9"/>
  <c r="AY10" i="9"/>
  <c r="AX11" i="9"/>
  <c r="AY11" i="9"/>
  <c r="AX12" i="9"/>
  <c r="AY12" i="9"/>
  <c r="AX13" i="9"/>
  <c r="AY13" i="9"/>
  <c r="AX14" i="9"/>
  <c r="AY14" i="9"/>
  <c r="AX15" i="9"/>
  <c r="AY15" i="9"/>
  <c r="AX16" i="9"/>
  <c r="AY16" i="9"/>
  <c r="AX17" i="9"/>
  <c r="AY17" i="9"/>
  <c r="AX18" i="9"/>
  <c r="AY18" i="9"/>
  <c r="AX19" i="9"/>
  <c r="AY19" i="9"/>
  <c r="AX20" i="9"/>
  <c r="AY20" i="9"/>
  <c r="AX21" i="9"/>
  <c r="AY21" i="9"/>
  <c r="AX24" i="9"/>
  <c r="AY24" i="9"/>
  <c r="AX25" i="9"/>
  <c r="AY25" i="9"/>
  <c r="AX26" i="9"/>
  <c r="AY26" i="9"/>
  <c r="AX27" i="9"/>
  <c r="AY27" i="9"/>
  <c r="AX28" i="9"/>
  <c r="AY28" i="9"/>
  <c r="AX29" i="9"/>
  <c r="AY29" i="9"/>
  <c r="AX30" i="9"/>
  <c r="AY30" i="9"/>
  <c r="AX31" i="9"/>
  <c r="AY31" i="9"/>
  <c r="AX32" i="9"/>
  <c r="AY32" i="9"/>
  <c r="AX33" i="9"/>
  <c r="AY33" i="9"/>
  <c r="AX34" i="9"/>
  <c r="AY34" i="9"/>
  <c r="AX35" i="9"/>
  <c r="AY35" i="9"/>
  <c r="AX36" i="9"/>
  <c r="AY36" i="9"/>
  <c r="AX39" i="9"/>
  <c r="AY39" i="9"/>
  <c r="AX40" i="9"/>
  <c r="AY40" i="9"/>
  <c r="AX41" i="9"/>
  <c r="AY41" i="9"/>
  <c r="AX42" i="9"/>
  <c r="AY42" i="9"/>
  <c r="AX43" i="9"/>
  <c r="AY43" i="9"/>
  <c r="AX44" i="9"/>
  <c r="AY44" i="9"/>
  <c r="AX45" i="9"/>
  <c r="AY45" i="9"/>
  <c r="AX46" i="9"/>
  <c r="AY46" i="9"/>
  <c r="AX47" i="9"/>
  <c r="AY47" i="9"/>
  <c r="AX48" i="9"/>
  <c r="AY48" i="9"/>
  <c r="AX49" i="9"/>
  <c r="AY49" i="9"/>
  <c r="AX50" i="9"/>
  <c r="AY50" i="9"/>
  <c r="AX53" i="9"/>
  <c r="AY53" i="9"/>
  <c r="AX54" i="9"/>
  <c r="AY54" i="9"/>
  <c r="AX55" i="9"/>
  <c r="AY55" i="9"/>
  <c r="AX56" i="9"/>
  <c r="AY56" i="9"/>
  <c r="AX57" i="9"/>
  <c r="AY57" i="9"/>
  <c r="AX58" i="9"/>
  <c r="AY58" i="9"/>
  <c r="AX59" i="9"/>
  <c r="AY59" i="9"/>
  <c r="AX60" i="9"/>
  <c r="AY60" i="9"/>
  <c r="AX61" i="9"/>
  <c r="AY61" i="9"/>
  <c r="AX62" i="9"/>
  <c r="AY62" i="9"/>
  <c r="BE52" i="6"/>
  <c r="BD52" i="6"/>
  <c r="BE38" i="6"/>
  <c r="BD38" i="6"/>
  <c r="BE23" i="6"/>
  <c r="BD23" i="6"/>
  <c r="BE5" i="6"/>
  <c r="BD5" i="6"/>
  <c r="AC52" i="6"/>
  <c r="AB52" i="6"/>
  <c r="AC38" i="6"/>
  <c r="AB38" i="6"/>
  <c r="AC23" i="6"/>
  <c r="AB23" i="6"/>
  <c r="AC5" i="6"/>
  <c r="AB5" i="6"/>
  <c r="CE52" i="7"/>
  <c r="CD52" i="7"/>
  <c r="CE38" i="7"/>
  <c r="CD38" i="7"/>
  <c r="CE23" i="7"/>
  <c r="CD23" i="7"/>
  <c r="CE5" i="7"/>
  <c r="CD5" i="7"/>
  <c r="AH52" i="7"/>
  <c r="AG52" i="7"/>
  <c r="AH38" i="7"/>
  <c r="AG38" i="7"/>
  <c r="AH23" i="7"/>
  <c r="AG23" i="7"/>
  <c r="AH5" i="7"/>
  <c r="AG5" i="7"/>
  <c r="AH52" i="8"/>
  <c r="AG52" i="8"/>
  <c r="AH38" i="8"/>
  <c r="AG38" i="8"/>
  <c r="AH23" i="8"/>
  <c r="AG23" i="8"/>
  <c r="AH5" i="8"/>
  <c r="AG5" i="8"/>
  <c r="CW52" i="1"/>
  <c r="CV52" i="1"/>
  <c r="CW38" i="1"/>
  <c r="CV38" i="1"/>
  <c r="AX37" i="9" s="1"/>
  <c r="CW23" i="1"/>
  <c r="CV23" i="1"/>
  <c r="AX22" i="9" s="1"/>
  <c r="CW5" i="1"/>
  <c r="CV5" i="1"/>
  <c r="AC52" i="5"/>
  <c r="AB52" i="5"/>
  <c r="AC38" i="5"/>
  <c r="AB38" i="5"/>
  <c r="AC23" i="5"/>
  <c r="AB23" i="5"/>
  <c r="AC5" i="5"/>
  <c r="AB5" i="5"/>
  <c r="AY5" i="4"/>
  <c r="AZ5" i="4"/>
  <c r="AY23" i="4"/>
  <c r="AZ23" i="4"/>
  <c r="AY38" i="4"/>
  <c r="AZ38" i="4"/>
  <c r="AY52" i="4"/>
  <c r="AX51" i="9" s="1"/>
  <c r="AZ52" i="4"/>
  <c r="BE4" i="6" l="1"/>
  <c r="BE39" i="6" s="1"/>
  <c r="BD4" i="6"/>
  <c r="BD53" i="6" s="1"/>
  <c r="AC4" i="6"/>
  <c r="AC39" i="6" s="1"/>
  <c r="CE4" i="7"/>
  <c r="CE24" i="7" s="1"/>
  <c r="CD4" i="7"/>
  <c r="CD6" i="7" s="1"/>
  <c r="AG4" i="7"/>
  <c r="AG53" i="7" s="1"/>
  <c r="AH4" i="8"/>
  <c r="AH24" i="8" s="1"/>
  <c r="AG4" i="8"/>
  <c r="AG53" i="8" s="1"/>
  <c r="AY37" i="9"/>
  <c r="AY22" i="9"/>
  <c r="AX4" i="9"/>
  <c r="AY4" i="1"/>
  <c r="AY53" i="1" s="1"/>
  <c r="AX4" i="1"/>
  <c r="AX53" i="1" s="1"/>
  <c r="AY51" i="9"/>
  <c r="CV4" i="1"/>
  <c r="CV24" i="1" s="1"/>
  <c r="AC4" i="5"/>
  <c r="AC39" i="5" s="1"/>
  <c r="AB4" i="5"/>
  <c r="AB53" i="5" s="1"/>
  <c r="AZ4" i="4"/>
  <c r="AZ39" i="4" s="1"/>
  <c r="AY4" i="9"/>
  <c r="AB4" i="6"/>
  <c r="AB39" i="6" s="1"/>
  <c r="AB24" i="6"/>
  <c r="AG39" i="7"/>
  <c r="AH4" i="7"/>
  <c r="AH6" i="7" s="1"/>
  <c r="CW4" i="1"/>
  <c r="AY3" i="9" s="1"/>
  <c r="AB24" i="5"/>
  <c r="AC24" i="5"/>
  <c r="AB39" i="5"/>
  <c r="AY4" i="4"/>
  <c r="AZ24" i="4"/>
  <c r="AZ53" i="4"/>
  <c r="AV6" i="9"/>
  <c r="AW6" i="9"/>
  <c r="AV7" i="9"/>
  <c r="AW7" i="9"/>
  <c r="AV8" i="9"/>
  <c r="AW8" i="9"/>
  <c r="AV9" i="9"/>
  <c r="AW9" i="9"/>
  <c r="AV10" i="9"/>
  <c r="AW10" i="9"/>
  <c r="AV11" i="9"/>
  <c r="AW11" i="9"/>
  <c r="AV12" i="9"/>
  <c r="AW12" i="9"/>
  <c r="AV13" i="9"/>
  <c r="AW13" i="9"/>
  <c r="AV14" i="9"/>
  <c r="AW14" i="9"/>
  <c r="AV15" i="9"/>
  <c r="AW15" i="9"/>
  <c r="AV16" i="9"/>
  <c r="AW16" i="9"/>
  <c r="AV17" i="9"/>
  <c r="AW17" i="9"/>
  <c r="AV18" i="9"/>
  <c r="AW18" i="9"/>
  <c r="AV19" i="9"/>
  <c r="AW19" i="9"/>
  <c r="AV20" i="9"/>
  <c r="AW20" i="9"/>
  <c r="AV21" i="9"/>
  <c r="AW21" i="9"/>
  <c r="AV24" i="9"/>
  <c r="AW24" i="9"/>
  <c r="AV25" i="9"/>
  <c r="AW25" i="9"/>
  <c r="AV26" i="9"/>
  <c r="AW26" i="9"/>
  <c r="AV27" i="9"/>
  <c r="AW27" i="9"/>
  <c r="AV28" i="9"/>
  <c r="AW28" i="9"/>
  <c r="AV29" i="9"/>
  <c r="AW29" i="9"/>
  <c r="AV30" i="9"/>
  <c r="AW30" i="9"/>
  <c r="AV31" i="9"/>
  <c r="AW31" i="9"/>
  <c r="AV32" i="9"/>
  <c r="AW32" i="9"/>
  <c r="AV33" i="9"/>
  <c r="AW33" i="9"/>
  <c r="AV34" i="9"/>
  <c r="AW34" i="9"/>
  <c r="AV35" i="9"/>
  <c r="AW35" i="9"/>
  <c r="AV36" i="9"/>
  <c r="AW36" i="9"/>
  <c r="AV39" i="9"/>
  <c r="AW39" i="9"/>
  <c r="AV40" i="9"/>
  <c r="AW40" i="9"/>
  <c r="AV41" i="9"/>
  <c r="AW41" i="9"/>
  <c r="AV42" i="9"/>
  <c r="AW42" i="9"/>
  <c r="AV43" i="9"/>
  <c r="AW43" i="9"/>
  <c r="AV44" i="9"/>
  <c r="AW44" i="9"/>
  <c r="AV45" i="9"/>
  <c r="AW45" i="9"/>
  <c r="AV46" i="9"/>
  <c r="AW46" i="9"/>
  <c r="AV47" i="9"/>
  <c r="AW47" i="9"/>
  <c r="AV48" i="9"/>
  <c r="AW48" i="9"/>
  <c r="AV49" i="9"/>
  <c r="AW49" i="9"/>
  <c r="AV50" i="9"/>
  <c r="AW50" i="9"/>
  <c r="AV53" i="9"/>
  <c r="AW53" i="9"/>
  <c r="AV54" i="9"/>
  <c r="AW54" i="9"/>
  <c r="AV55" i="9"/>
  <c r="AW55" i="9"/>
  <c r="AV56" i="9"/>
  <c r="AW56" i="9"/>
  <c r="AV57" i="9"/>
  <c r="AW57" i="9"/>
  <c r="AV58" i="9"/>
  <c r="AW58" i="9"/>
  <c r="AV59" i="9"/>
  <c r="AW59" i="9"/>
  <c r="AV60" i="9"/>
  <c r="AW60" i="9"/>
  <c r="AV61" i="9"/>
  <c r="AW61" i="9"/>
  <c r="AV62" i="9"/>
  <c r="AW62" i="9"/>
  <c r="BC52" i="6"/>
  <c r="BB52" i="6"/>
  <c r="BC38" i="6"/>
  <c r="BB38" i="6"/>
  <c r="BC23" i="6"/>
  <c r="BB23" i="6"/>
  <c r="BC5" i="6"/>
  <c r="BB5" i="6"/>
  <c r="AA52" i="6"/>
  <c r="Z52" i="6"/>
  <c r="AA38" i="6"/>
  <c r="Z38" i="6"/>
  <c r="AA23" i="6"/>
  <c r="Z23" i="6"/>
  <c r="AA5" i="6"/>
  <c r="Z5" i="6"/>
  <c r="CC52" i="7"/>
  <c r="CB52" i="7"/>
  <c r="CC38" i="7"/>
  <c r="CB38" i="7"/>
  <c r="CC23" i="7"/>
  <c r="CB23" i="7"/>
  <c r="CC5" i="7"/>
  <c r="CB5" i="7"/>
  <c r="AF52" i="7"/>
  <c r="AE52" i="7"/>
  <c r="AF38" i="7"/>
  <c r="AE38" i="7"/>
  <c r="AF23" i="7"/>
  <c r="AE23" i="7"/>
  <c r="AF5" i="7"/>
  <c r="AE5" i="7"/>
  <c r="AI5" i="7"/>
  <c r="AI6" i="7" s="1"/>
  <c r="AJ5" i="7"/>
  <c r="AI23" i="7"/>
  <c r="AI24" i="7" s="1"/>
  <c r="AJ23" i="7"/>
  <c r="AI38" i="7"/>
  <c r="AI39" i="7" s="1"/>
  <c r="AJ38" i="7"/>
  <c r="AI52" i="7"/>
  <c r="AI53" i="7" s="1"/>
  <c r="AJ52" i="7"/>
  <c r="AF52" i="8"/>
  <c r="AE52" i="8"/>
  <c r="AF38" i="8"/>
  <c r="AE38" i="8"/>
  <c r="AF23" i="8"/>
  <c r="AE23" i="8"/>
  <c r="AF5" i="8"/>
  <c r="AE5" i="8"/>
  <c r="CU52" i="1"/>
  <c r="CT52" i="1"/>
  <c r="CU38" i="1"/>
  <c r="CT38" i="1"/>
  <c r="CU23" i="1"/>
  <c r="CT23" i="1"/>
  <c r="CU5" i="1"/>
  <c r="CT5" i="1"/>
  <c r="AW52" i="1"/>
  <c r="AV52" i="1"/>
  <c r="AW38" i="1"/>
  <c r="AV38" i="1"/>
  <c r="AW23" i="1"/>
  <c r="AV23" i="1"/>
  <c r="AW5" i="1"/>
  <c r="AV5" i="1"/>
  <c r="AA52" i="5"/>
  <c r="Z52" i="5"/>
  <c r="AA38" i="5"/>
  <c r="Z38" i="5"/>
  <c r="AA23" i="5"/>
  <c r="Z23" i="5"/>
  <c r="AA5" i="5"/>
  <c r="Z5" i="5"/>
  <c r="AW52" i="4"/>
  <c r="AX52" i="4"/>
  <c r="AW38" i="4"/>
  <c r="AX38" i="4"/>
  <c r="AW23" i="4"/>
  <c r="AX23" i="4"/>
  <c r="AW5" i="4"/>
  <c r="AX5" i="4"/>
  <c r="BE6" i="6" l="1"/>
  <c r="BE53" i="6"/>
  <c r="BE24" i="6"/>
  <c r="BD6" i="6"/>
  <c r="BD39" i="6"/>
  <c r="BD24" i="6"/>
  <c r="AC6" i="6"/>
  <c r="AC53" i="6"/>
  <c r="AC24" i="6"/>
  <c r="CE6" i="7"/>
  <c r="CE53" i="7"/>
  <c r="CE39" i="7"/>
  <c r="CD53" i="7"/>
  <c r="CD39" i="7"/>
  <c r="CD24" i="7"/>
  <c r="AG24" i="7"/>
  <c r="AG6" i="7"/>
  <c r="AH6" i="8"/>
  <c r="AH39" i="8"/>
  <c r="AH53" i="8"/>
  <c r="AG39" i="8"/>
  <c r="AG6" i="8"/>
  <c r="AG24" i="8"/>
  <c r="CV6" i="1"/>
  <c r="CV39" i="1"/>
  <c r="CV53" i="1"/>
  <c r="AY6" i="1"/>
  <c r="AY24" i="1"/>
  <c r="AY39" i="1"/>
  <c r="AX6" i="1"/>
  <c r="AX39" i="1"/>
  <c r="AX24" i="1"/>
  <c r="AW51" i="9"/>
  <c r="AC6" i="5"/>
  <c r="AC53" i="5"/>
  <c r="AB6" i="5"/>
  <c r="AZ6" i="4"/>
  <c r="AY53" i="4"/>
  <c r="AX3" i="9"/>
  <c r="AB6" i="6"/>
  <c r="AB53" i="6"/>
  <c r="AH24" i="7"/>
  <c r="AH53" i="7"/>
  <c r="AH39" i="7"/>
  <c r="AV51" i="9"/>
  <c r="CW39" i="1"/>
  <c r="CW6" i="1"/>
  <c r="CW24" i="1"/>
  <c r="CW53" i="1"/>
  <c r="AY39" i="4"/>
  <c r="AY24" i="4"/>
  <c r="AY6" i="4"/>
  <c r="BC4" i="6"/>
  <c r="BB4" i="6"/>
  <c r="BB39" i="6" s="1"/>
  <c r="AA4" i="6"/>
  <c r="Z4" i="6"/>
  <c r="Z39" i="6" s="1"/>
  <c r="CC4" i="7"/>
  <c r="CB4" i="7"/>
  <c r="CB24" i="7" s="1"/>
  <c r="AF4" i="7"/>
  <c r="AE4" i="7"/>
  <c r="AF4" i="8"/>
  <c r="AF6" i="8" s="1"/>
  <c r="AE4" i="8"/>
  <c r="AE53" i="8" s="1"/>
  <c r="AW37" i="9"/>
  <c r="AW22" i="9"/>
  <c r="CU4" i="1"/>
  <c r="CU39" i="1" s="1"/>
  <c r="AW4" i="9"/>
  <c r="AV37" i="9"/>
  <c r="AV22" i="9"/>
  <c r="CT4" i="1"/>
  <c r="CT24" i="1" s="1"/>
  <c r="AV4" i="9"/>
  <c r="AW4" i="1"/>
  <c r="AW6" i="1" s="1"/>
  <c r="AA4" i="5"/>
  <c r="AA24" i="5" s="1"/>
  <c r="Z4" i="5"/>
  <c r="Z6" i="5" s="1"/>
  <c r="BC24" i="6"/>
  <c r="BC39" i="6"/>
  <c r="BC53" i="6"/>
  <c r="BC6" i="6"/>
  <c r="Z24" i="6"/>
  <c r="AA24" i="6"/>
  <c r="AA53" i="6"/>
  <c r="AA6" i="6"/>
  <c r="AE53" i="7"/>
  <c r="AE24" i="7"/>
  <c r="AF24" i="7"/>
  <c r="AE39" i="7"/>
  <c r="AF53" i="7"/>
  <c r="AE6" i="7"/>
  <c r="AJ4" i="7"/>
  <c r="AJ53" i="7" s="1"/>
  <c r="AF24" i="8"/>
  <c r="AE39" i="8"/>
  <c r="AF39" i="8"/>
  <c r="AF53" i="8"/>
  <c r="AV4" i="1"/>
  <c r="AV6" i="1" s="1"/>
  <c r="Z24" i="5"/>
  <c r="Z53" i="5"/>
  <c r="Z39" i="5"/>
  <c r="AX4" i="4"/>
  <c r="AW4" i="4"/>
  <c r="AW24" i="1" l="1"/>
  <c r="AW39" i="1"/>
  <c r="Z6" i="6"/>
  <c r="BB24" i="6"/>
  <c r="Z53" i="6"/>
  <c r="CB53" i="7"/>
  <c r="CB6" i="7"/>
  <c r="AF6" i="7"/>
  <c r="AE6" i="8"/>
  <c r="AW53" i="1"/>
  <c r="CT6" i="1"/>
  <c r="CT39" i="1"/>
  <c r="AJ6" i="7"/>
  <c r="AA53" i="5"/>
  <c r="CU6" i="1"/>
  <c r="AJ24" i="7"/>
  <c r="AA39" i="6"/>
  <c r="CC24" i="7"/>
  <c r="AF39" i="7"/>
  <c r="BB6" i="6"/>
  <c r="BB53" i="6"/>
  <c r="CC53" i="7"/>
  <c r="CC39" i="7"/>
  <c r="CC6" i="7"/>
  <c r="CB39" i="7"/>
  <c r="AE24" i="8"/>
  <c r="CU53" i="1"/>
  <c r="CU24" i="1"/>
  <c r="CT53" i="1"/>
  <c r="AV3" i="9"/>
  <c r="AA39" i="5"/>
  <c r="AA6" i="5"/>
  <c r="AX39" i="4"/>
  <c r="AW3" i="9"/>
  <c r="AJ39" i="7"/>
  <c r="AV39" i="1"/>
  <c r="AV53" i="1"/>
  <c r="AV24" i="1"/>
  <c r="AW39" i="4"/>
  <c r="AW53" i="4"/>
  <c r="AX53" i="4"/>
  <c r="AW6" i="4"/>
  <c r="AW24" i="4"/>
  <c r="AX6" i="4"/>
  <c r="AX24" i="4"/>
  <c r="AT6" i="9"/>
  <c r="AU6" i="9"/>
  <c r="AT7" i="9"/>
  <c r="AU7" i="9"/>
  <c r="AT8" i="9"/>
  <c r="AU8" i="9"/>
  <c r="AT9" i="9"/>
  <c r="AU9" i="9"/>
  <c r="AT10" i="9"/>
  <c r="AU10" i="9"/>
  <c r="AT11" i="9"/>
  <c r="AU11" i="9"/>
  <c r="AT12" i="9"/>
  <c r="AU12" i="9"/>
  <c r="AT13" i="9"/>
  <c r="AU13" i="9"/>
  <c r="AT14" i="9"/>
  <c r="AU14" i="9"/>
  <c r="AT15" i="9"/>
  <c r="AU15" i="9"/>
  <c r="AT16" i="9"/>
  <c r="AU16" i="9"/>
  <c r="AT17" i="9"/>
  <c r="AU17" i="9"/>
  <c r="AT18" i="9"/>
  <c r="AU18" i="9"/>
  <c r="AT19" i="9"/>
  <c r="AU19" i="9"/>
  <c r="AT20" i="9"/>
  <c r="AU20" i="9"/>
  <c r="AT21" i="9"/>
  <c r="AU21" i="9"/>
  <c r="AT24" i="9"/>
  <c r="AU24" i="9"/>
  <c r="AT25" i="9"/>
  <c r="AU25" i="9"/>
  <c r="AT26" i="9"/>
  <c r="AU26" i="9"/>
  <c r="AT27" i="9"/>
  <c r="AU27" i="9"/>
  <c r="AT28" i="9"/>
  <c r="AU28" i="9"/>
  <c r="AT29" i="9"/>
  <c r="AU29" i="9"/>
  <c r="AT30" i="9"/>
  <c r="AU30" i="9"/>
  <c r="AT31" i="9"/>
  <c r="AU31" i="9"/>
  <c r="AT32" i="9"/>
  <c r="AU32" i="9"/>
  <c r="AT33" i="9"/>
  <c r="AU33" i="9"/>
  <c r="AT34" i="9"/>
  <c r="AU34" i="9"/>
  <c r="AT35" i="9"/>
  <c r="AU35" i="9"/>
  <c r="AT36" i="9"/>
  <c r="AU36" i="9"/>
  <c r="AT39" i="9"/>
  <c r="AU39" i="9"/>
  <c r="AT40" i="9"/>
  <c r="AU40" i="9"/>
  <c r="AT41" i="9"/>
  <c r="AU41" i="9"/>
  <c r="AT42" i="9"/>
  <c r="AU42" i="9"/>
  <c r="AT43" i="9"/>
  <c r="AU43" i="9"/>
  <c r="AT44" i="9"/>
  <c r="AU44" i="9"/>
  <c r="AT45" i="9"/>
  <c r="AU45" i="9"/>
  <c r="AT46" i="9"/>
  <c r="AU46" i="9"/>
  <c r="AT47" i="9"/>
  <c r="AU47" i="9"/>
  <c r="AT48" i="9"/>
  <c r="AU48" i="9"/>
  <c r="AT49" i="9"/>
  <c r="AU49" i="9"/>
  <c r="AT50" i="9"/>
  <c r="AU50" i="9"/>
  <c r="AT53" i="9"/>
  <c r="AU53" i="9"/>
  <c r="AT54" i="9"/>
  <c r="AU54" i="9"/>
  <c r="AT55" i="9"/>
  <c r="AU55" i="9"/>
  <c r="AT56" i="9"/>
  <c r="AU56" i="9"/>
  <c r="AT57" i="9"/>
  <c r="AU57" i="9"/>
  <c r="AT58" i="9"/>
  <c r="AU58" i="9"/>
  <c r="AT59" i="9"/>
  <c r="AU59" i="9"/>
  <c r="AT60" i="9"/>
  <c r="AU60" i="9"/>
  <c r="AT61" i="9"/>
  <c r="AU61" i="9"/>
  <c r="AT62" i="9"/>
  <c r="AU62" i="9"/>
  <c r="AZ5" i="6"/>
  <c r="BA5" i="6"/>
  <c r="AZ23" i="6"/>
  <c r="BA23" i="6"/>
  <c r="AZ38" i="6"/>
  <c r="BA38" i="6"/>
  <c r="AZ52" i="6"/>
  <c r="BA52" i="6"/>
  <c r="X5" i="6"/>
  <c r="Y5" i="6"/>
  <c r="X23" i="6"/>
  <c r="Y23" i="6"/>
  <c r="X38" i="6"/>
  <c r="Y38" i="6"/>
  <c r="X52" i="6"/>
  <c r="Y52" i="6"/>
  <c r="BZ38" i="7"/>
  <c r="CA38" i="7"/>
  <c r="BZ52" i="7"/>
  <c r="CA52" i="7"/>
  <c r="BZ23" i="7"/>
  <c r="CA23" i="7"/>
  <c r="BZ5" i="7"/>
  <c r="CA5" i="7"/>
  <c r="AC5" i="7"/>
  <c r="AD5" i="7"/>
  <c r="AC23" i="7"/>
  <c r="AD23" i="7"/>
  <c r="AC38" i="7"/>
  <c r="AD38" i="7"/>
  <c r="AC52" i="7"/>
  <c r="AD52" i="7"/>
  <c r="AC5" i="8"/>
  <c r="AD5" i="8"/>
  <c r="AC23" i="8"/>
  <c r="AD23" i="8"/>
  <c r="AC38" i="8"/>
  <c r="AD38" i="8"/>
  <c r="AC52" i="8"/>
  <c r="AD52" i="8"/>
  <c r="CR52" i="1"/>
  <c r="CS52" i="1"/>
  <c r="CR38" i="1"/>
  <c r="CS38" i="1"/>
  <c r="CR23" i="1"/>
  <c r="CS23" i="1"/>
  <c r="CR5" i="1"/>
  <c r="CS5" i="1"/>
  <c r="AT5" i="1"/>
  <c r="AU5" i="1"/>
  <c r="AT23" i="1"/>
  <c r="AU23" i="1"/>
  <c r="AT38" i="1"/>
  <c r="AU38" i="1"/>
  <c r="AT52" i="1"/>
  <c r="AU52" i="1"/>
  <c r="X5" i="5"/>
  <c r="Y5" i="5"/>
  <c r="X23" i="5"/>
  <c r="Y23" i="5"/>
  <c r="X38" i="5"/>
  <c r="Y38" i="5"/>
  <c r="X52" i="5"/>
  <c r="Y52" i="5"/>
  <c r="AU5" i="4"/>
  <c r="AV5" i="4"/>
  <c r="AU23" i="4"/>
  <c r="AV23" i="4"/>
  <c r="AU38" i="4"/>
  <c r="AV38" i="4"/>
  <c r="AU52" i="4"/>
  <c r="AV52" i="4"/>
  <c r="AU51" i="9" s="1"/>
  <c r="AU22" i="9" l="1"/>
  <c r="AT22" i="9"/>
  <c r="AD4" i="8"/>
  <c r="AD6" i="8" s="1"/>
  <c r="AT4" i="9"/>
  <c r="AT37" i="9"/>
  <c r="AV4" i="4"/>
  <c r="AV24" i="4" s="1"/>
  <c r="AU4" i="1"/>
  <c r="AU6" i="1" s="1"/>
  <c r="AU4" i="4"/>
  <c r="AU24" i="4" s="1"/>
  <c r="X4" i="5"/>
  <c r="X39" i="5" s="1"/>
  <c r="AT51" i="9"/>
  <c r="AZ4" i="6"/>
  <c r="AZ24" i="6" s="1"/>
  <c r="AC4" i="7"/>
  <c r="AC24" i="7" s="1"/>
  <c r="AC4" i="8"/>
  <c r="AC6" i="8" s="1"/>
  <c r="X4" i="6"/>
  <c r="X6" i="6" s="1"/>
  <c r="BZ4" i="7"/>
  <c r="BZ24" i="7" s="1"/>
  <c r="Y4" i="5"/>
  <c r="Y24" i="5" s="1"/>
  <c r="BA4" i="6"/>
  <c r="AU37" i="9"/>
  <c r="AD4" i="7"/>
  <c r="AD24" i="7" s="1"/>
  <c r="CA4" i="7"/>
  <c r="CA24" i="7" s="1"/>
  <c r="AU4" i="9"/>
  <c r="AT4" i="1"/>
  <c r="AT24" i="1" s="1"/>
  <c r="Y4" i="6"/>
  <c r="Y24" i="6" s="1"/>
  <c r="BA53" i="6"/>
  <c r="BA24" i="6"/>
  <c r="BA39" i="6"/>
  <c r="AD53" i="8"/>
  <c r="AD24" i="8"/>
  <c r="CS4" i="1"/>
  <c r="CR4" i="1"/>
  <c r="Y53" i="5"/>
  <c r="AS6" i="9"/>
  <c r="AS7" i="9"/>
  <c r="AS8" i="9"/>
  <c r="AS9" i="9"/>
  <c r="AS10" i="9"/>
  <c r="AS11" i="9"/>
  <c r="AS12" i="9"/>
  <c r="AS13" i="9"/>
  <c r="AS14" i="9"/>
  <c r="AS15" i="9"/>
  <c r="AS16" i="9"/>
  <c r="AS17" i="9"/>
  <c r="AS18" i="9"/>
  <c r="AS19" i="9"/>
  <c r="AS20" i="9"/>
  <c r="AS21" i="9"/>
  <c r="AS24" i="9"/>
  <c r="AS25" i="9"/>
  <c r="AS26" i="9"/>
  <c r="AS27" i="9"/>
  <c r="AS28" i="9"/>
  <c r="AS29" i="9"/>
  <c r="AS30" i="9"/>
  <c r="AS31" i="9"/>
  <c r="AS32" i="9"/>
  <c r="AS33" i="9"/>
  <c r="AS34" i="9"/>
  <c r="AS35" i="9"/>
  <c r="AS36" i="9"/>
  <c r="AS39" i="9"/>
  <c r="AS40" i="9"/>
  <c r="AS41" i="9"/>
  <c r="AS42" i="9"/>
  <c r="AS43" i="9"/>
  <c r="AS44" i="9"/>
  <c r="AS45" i="9"/>
  <c r="AS46" i="9"/>
  <c r="AS47" i="9"/>
  <c r="AS48" i="9"/>
  <c r="AS49" i="9"/>
  <c r="AS50" i="9"/>
  <c r="AS53" i="9"/>
  <c r="AS54" i="9"/>
  <c r="AS55" i="9"/>
  <c r="AS56" i="9"/>
  <c r="AS57" i="9"/>
  <c r="AS58" i="9"/>
  <c r="AS59" i="9"/>
  <c r="AS60" i="9"/>
  <c r="AS61" i="9"/>
  <c r="AS62" i="9"/>
  <c r="AT52" i="4"/>
  <c r="AT38" i="4"/>
  <c r="AT23" i="4"/>
  <c r="AT5" i="4"/>
  <c r="W52" i="5"/>
  <c r="W38" i="5"/>
  <c r="W23" i="5"/>
  <c r="W5" i="5"/>
  <c r="CQ52" i="1"/>
  <c r="AS51" i="9" s="1"/>
  <c r="CQ38" i="1"/>
  <c r="CQ23" i="1"/>
  <c r="AS22" i="9" s="1"/>
  <c r="CQ5" i="1"/>
  <c r="AS52" i="1"/>
  <c r="AS38" i="1"/>
  <c r="AS23" i="1"/>
  <c r="AS5" i="1"/>
  <c r="AB52" i="8"/>
  <c r="AB38" i="8"/>
  <c r="AB23" i="8"/>
  <c r="AB5" i="8"/>
  <c r="BY52" i="7"/>
  <c r="BY38" i="7"/>
  <c r="BY23" i="7"/>
  <c r="BY5" i="7"/>
  <c r="AB52" i="7"/>
  <c r="AB38" i="7"/>
  <c r="AB23" i="7"/>
  <c r="AB5" i="7"/>
  <c r="AY52" i="6"/>
  <c r="AY38" i="6"/>
  <c r="AY23" i="6"/>
  <c r="AY5" i="6"/>
  <c r="W52" i="6"/>
  <c r="W38" i="6"/>
  <c r="W23" i="6"/>
  <c r="W5" i="6"/>
  <c r="AZ53" i="6" l="1"/>
  <c r="AZ39" i="6"/>
  <c r="BZ53" i="7"/>
  <c r="AC53" i="8"/>
  <c r="AC39" i="8"/>
  <c r="AC24" i="8"/>
  <c r="X6" i="5"/>
  <c r="X53" i="5"/>
  <c r="X24" i="5"/>
  <c r="AZ6" i="6"/>
  <c r="AC6" i="7"/>
  <c r="AC39" i="7"/>
  <c r="AC53" i="7"/>
  <c r="AD53" i="7"/>
  <c r="AD39" i="8"/>
  <c r="AT6" i="1"/>
  <c r="AU53" i="1"/>
  <c r="AT53" i="1"/>
  <c r="AT39" i="1"/>
  <c r="AV6" i="4"/>
  <c r="AV53" i="4"/>
  <c r="AV39" i="4"/>
  <c r="AU6" i="4"/>
  <c r="X53" i="6"/>
  <c r="AU53" i="4"/>
  <c r="AU24" i="1"/>
  <c r="X39" i="6"/>
  <c r="CA39" i="7"/>
  <c r="X24" i="6"/>
  <c r="AU39" i="4"/>
  <c r="Y39" i="6"/>
  <c r="AU39" i="1"/>
  <c r="Y6" i="6"/>
  <c r="AD6" i="7"/>
  <c r="CR53" i="1"/>
  <c r="AT3" i="9"/>
  <c r="CA53" i="7"/>
  <c r="BA6" i="6"/>
  <c r="Y6" i="5"/>
  <c r="AD39" i="7"/>
  <c r="AU3" i="9"/>
  <c r="Y53" i="6"/>
  <c r="Y39" i="5"/>
  <c r="BZ6" i="7"/>
  <c r="BZ39" i="7"/>
  <c r="CA6" i="7"/>
  <c r="CS6" i="1"/>
  <c r="CS53" i="1"/>
  <c r="CR6" i="1"/>
  <c r="CR39" i="1"/>
  <c r="CS24" i="1"/>
  <c r="CS39" i="1"/>
  <c r="CR24" i="1"/>
  <c r="AS4" i="9"/>
  <c r="AS37" i="9"/>
  <c r="AT4" i="4"/>
  <c r="W4" i="5"/>
  <c r="CQ4" i="1"/>
  <c r="AS4" i="1"/>
  <c r="AS53" i="1" s="1"/>
  <c r="AB4" i="8"/>
  <c r="AB24" i="8" s="1"/>
  <c r="BY4" i="7"/>
  <c r="AB4" i="7"/>
  <c r="AB39" i="7" s="1"/>
  <c r="AY4" i="6"/>
  <c r="W4" i="6"/>
  <c r="AR6" i="9"/>
  <c r="AR7" i="9"/>
  <c r="AR8" i="9"/>
  <c r="AR9" i="9"/>
  <c r="AR10" i="9"/>
  <c r="AR11" i="9"/>
  <c r="AR12" i="9"/>
  <c r="AR13" i="9"/>
  <c r="AR14" i="9"/>
  <c r="AR15" i="9"/>
  <c r="AR16" i="9"/>
  <c r="AR17" i="9"/>
  <c r="AR18" i="9"/>
  <c r="AR19" i="9"/>
  <c r="AR20" i="9"/>
  <c r="AR21" i="9"/>
  <c r="AR24" i="9"/>
  <c r="AR25" i="9"/>
  <c r="AR26" i="9"/>
  <c r="AR27" i="9"/>
  <c r="AR28" i="9"/>
  <c r="AR29" i="9"/>
  <c r="AR30" i="9"/>
  <c r="AR31" i="9"/>
  <c r="AR32" i="9"/>
  <c r="AR33" i="9"/>
  <c r="AR34" i="9"/>
  <c r="AR35" i="9"/>
  <c r="AR36" i="9"/>
  <c r="AR39" i="9"/>
  <c r="AR40" i="9"/>
  <c r="AR41" i="9"/>
  <c r="AR42" i="9"/>
  <c r="AR43" i="9"/>
  <c r="AR44" i="9"/>
  <c r="AR45" i="9"/>
  <c r="AR46" i="9"/>
  <c r="AR47" i="9"/>
  <c r="AR48" i="9"/>
  <c r="AR49" i="9"/>
  <c r="AR50" i="9"/>
  <c r="AR53" i="9"/>
  <c r="AR54" i="9"/>
  <c r="AR55" i="9"/>
  <c r="AR56" i="9"/>
  <c r="AR57" i="9"/>
  <c r="AR58" i="9"/>
  <c r="AR59" i="9"/>
  <c r="AR60" i="9"/>
  <c r="AR61" i="9"/>
  <c r="AR62" i="9"/>
  <c r="V5" i="6"/>
  <c r="V23" i="6"/>
  <c r="V38" i="6"/>
  <c r="V52" i="6"/>
  <c r="AX5" i="6"/>
  <c r="AX23" i="6"/>
  <c r="AX38" i="6"/>
  <c r="AX52" i="6"/>
  <c r="AA5" i="7"/>
  <c r="AA23" i="7"/>
  <c r="AA38" i="7"/>
  <c r="AA52" i="7"/>
  <c r="BX5" i="7"/>
  <c r="BX23" i="7"/>
  <c r="BX38" i="7"/>
  <c r="BX52" i="7"/>
  <c r="AA5" i="8"/>
  <c r="AA23" i="8"/>
  <c r="AA38" i="8"/>
  <c r="AA52" i="8"/>
  <c r="AR5" i="1"/>
  <c r="AR23" i="1"/>
  <c r="AR38" i="1"/>
  <c r="AR52" i="1"/>
  <c r="CP5" i="1"/>
  <c r="CP23" i="1"/>
  <c r="CP38" i="1"/>
  <c r="CP52" i="1"/>
  <c r="V5" i="5"/>
  <c r="V23" i="5"/>
  <c r="V38" i="5"/>
  <c r="V52" i="5"/>
  <c r="U52" i="5"/>
  <c r="AS5" i="4"/>
  <c r="AS23" i="4"/>
  <c r="AS38" i="4"/>
  <c r="AS52" i="4"/>
  <c r="AA4" i="8" l="1"/>
  <c r="AA24" i="8" s="1"/>
  <c r="AR51" i="9"/>
  <c r="AB24" i="7"/>
  <c r="CP4" i="1"/>
  <c r="AR3" i="9" s="1"/>
  <c r="AR22" i="9"/>
  <c r="AR37" i="9"/>
  <c r="AB6" i="8"/>
  <c r="AX4" i="6"/>
  <c r="V24" i="6"/>
  <c r="W53" i="6"/>
  <c r="V4" i="5"/>
  <c r="AR4" i="1"/>
  <c r="AR53" i="1" s="1"/>
  <c r="BY24" i="7"/>
  <c r="V4" i="6"/>
  <c r="BX4" i="7"/>
  <c r="AR4" i="9"/>
  <c r="AY6" i="6"/>
  <c r="CQ6" i="1"/>
  <c r="AX6" i="6"/>
  <c r="W53" i="5"/>
  <c r="AS4" i="4"/>
  <c r="AA4" i="7"/>
  <c r="V39" i="6"/>
  <c r="AB6" i="7"/>
  <c r="AT6" i="4"/>
  <c r="AS3" i="9"/>
  <c r="AT39" i="4"/>
  <c r="AT24" i="4"/>
  <c r="AT53" i="4"/>
  <c r="W6" i="5"/>
  <c r="W39" i="5"/>
  <c r="W24" i="5"/>
  <c r="CQ24" i="1"/>
  <c r="CQ39" i="1"/>
  <c r="CQ53" i="1"/>
  <c r="AS6" i="1"/>
  <c r="AS39" i="1"/>
  <c r="AS24" i="1"/>
  <c r="AB39" i="8"/>
  <c r="AB53" i="8"/>
  <c r="BY6" i="7"/>
  <c r="BY53" i="7"/>
  <c r="BY39" i="7"/>
  <c r="AB53" i="7"/>
  <c r="AY24" i="6"/>
  <c r="AY39" i="6"/>
  <c r="AY53" i="6"/>
  <c r="W6" i="6"/>
  <c r="W39" i="6"/>
  <c r="W24" i="6"/>
  <c r="AA53" i="8" l="1"/>
  <c r="AA6" i="8"/>
  <c r="AA39" i="8"/>
  <c r="V24" i="5"/>
  <c r="CP24" i="1"/>
  <c r="AA39" i="7"/>
  <c r="BX24" i="7"/>
  <c r="V53" i="6"/>
  <c r="AS39" i="4"/>
  <c r="CP53" i="1"/>
  <c r="CP39" i="1"/>
  <c r="AX53" i="6"/>
  <c r="CP6" i="1"/>
  <c r="AX24" i="6"/>
  <c r="V6" i="6"/>
  <c r="AR6" i="1"/>
  <c r="V6" i="5"/>
  <c r="AX39" i="6"/>
  <c r="AS53" i="4"/>
  <c r="AS24" i="4"/>
  <c r="AS6" i="4"/>
  <c r="AA24" i="7"/>
  <c r="AA6" i="7"/>
  <c r="BX53" i="7"/>
  <c r="AA53" i="7"/>
  <c r="BX6" i="7"/>
  <c r="BX39" i="7"/>
  <c r="AR24" i="1"/>
  <c r="V53" i="5"/>
  <c r="AR39" i="1"/>
  <c r="V39" i="5"/>
  <c r="AQ6" i="9"/>
  <c r="AQ7" i="9"/>
  <c r="AQ8" i="9"/>
  <c r="AQ9" i="9"/>
  <c r="AQ10" i="9"/>
  <c r="AQ11" i="9"/>
  <c r="AQ12" i="9"/>
  <c r="AQ13" i="9"/>
  <c r="AQ14" i="9"/>
  <c r="AQ15" i="9"/>
  <c r="AQ16" i="9"/>
  <c r="AQ17" i="9"/>
  <c r="AQ18" i="9"/>
  <c r="AQ19" i="9"/>
  <c r="AQ20" i="9"/>
  <c r="AQ21" i="9"/>
  <c r="AQ24" i="9"/>
  <c r="AQ25" i="9"/>
  <c r="AQ26" i="9"/>
  <c r="AQ27" i="9"/>
  <c r="AQ28" i="9"/>
  <c r="AQ29" i="9"/>
  <c r="AQ30" i="9"/>
  <c r="AQ31" i="9"/>
  <c r="AQ32" i="9"/>
  <c r="AQ33" i="9"/>
  <c r="AQ34" i="9"/>
  <c r="AQ35" i="9"/>
  <c r="AQ36" i="9"/>
  <c r="AQ39" i="9"/>
  <c r="AQ40" i="9"/>
  <c r="AQ41" i="9"/>
  <c r="AQ42" i="9"/>
  <c r="AQ43" i="9"/>
  <c r="AQ44" i="9"/>
  <c r="AQ45" i="9"/>
  <c r="AQ46" i="9"/>
  <c r="AQ47" i="9"/>
  <c r="AQ48" i="9"/>
  <c r="AQ49" i="9"/>
  <c r="AQ50" i="9"/>
  <c r="AQ53" i="9"/>
  <c r="AQ54" i="9"/>
  <c r="AQ55" i="9"/>
  <c r="AQ56" i="9"/>
  <c r="AQ57" i="9"/>
  <c r="AQ58" i="9"/>
  <c r="AQ59" i="9"/>
  <c r="AQ60" i="9"/>
  <c r="AQ61" i="9"/>
  <c r="AQ62" i="9"/>
  <c r="U52" i="6"/>
  <c r="U38" i="6"/>
  <c r="U23" i="6"/>
  <c r="U5" i="6"/>
  <c r="AW52" i="6"/>
  <c r="AW38" i="6"/>
  <c r="AW23" i="6"/>
  <c r="AW5" i="6"/>
  <c r="BW52" i="7"/>
  <c r="BW38" i="7"/>
  <c r="BW23" i="7"/>
  <c r="BW5" i="7"/>
  <c r="Z52" i="7"/>
  <c r="Z38" i="7"/>
  <c r="Z23" i="7"/>
  <c r="Z5" i="7"/>
  <c r="Z52" i="8"/>
  <c r="Z38" i="8"/>
  <c r="Z23" i="8"/>
  <c r="Z5" i="8"/>
  <c r="AQ52" i="1"/>
  <c r="AQ38" i="1"/>
  <c r="AQ23" i="1"/>
  <c r="AQ5" i="1"/>
  <c r="CO52" i="1"/>
  <c r="CO38" i="1"/>
  <c r="CO23" i="1"/>
  <c r="CO5" i="1"/>
  <c r="U38" i="5"/>
  <c r="U23" i="5"/>
  <c r="U5" i="5"/>
  <c r="Z4" i="8" l="1"/>
  <c r="Z6" i="8" s="1"/>
  <c r="U4" i="6"/>
  <c r="U6" i="6" s="1"/>
  <c r="Z4" i="7"/>
  <c r="Z24" i="7" s="1"/>
  <c r="U24" i="6"/>
  <c r="AW4" i="6"/>
  <c r="AW6" i="6" s="1"/>
  <c r="BW4" i="7"/>
  <c r="BW6" i="7" s="1"/>
  <c r="Z53" i="8"/>
  <c r="Z39" i="8"/>
  <c r="Z24" i="8"/>
  <c r="AQ4" i="1"/>
  <c r="AQ6" i="1" s="1"/>
  <c r="CO4" i="1"/>
  <c r="U4" i="5"/>
  <c r="AR52" i="4"/>
  <c r="AQ51" i="9" s="1"/>
  <c r="AR38" i="4"/>
  <c r="AQ37" i="9" s="1"/>
  <c r="AR23" i="4"/>
  <c r="AQ22" i="9" s="1"/>
  <c r="AR5" i="4"/>
  <c r="AQ4" i="9" s="1"/>
  <c r="AV52" i="6"/>
  <c r="AV38" i="6"/>
  <c r="AV23" i="6"/>
  <c r="AV5" i="6"/>
  <c r="T52" i="6"/>
  <c r="T38" i="6"/>
  <c r="T23" i="6"/>
  <c r="T5" i="6"/>
  <c r="AP6" i="9"/>
  <c r="AP7" i="9"/>
  <c r="AP8" i="9"/>
  <c r="AP9" i="9"/>
  <c r="AP10" i="9"/>
  <c r="AP11" i="9"/>
  <c r="AP12" i="9"/>
  <c r="AP13" i="9"/>
  <c r="AP14" i="9"/>
  <c r="AP15" i="9"/>
  <c r="AP16" i="9"/>
  <c r="AP17" i="9"/>
  <c r="AP18" i="9"/>
  <c r="AP19" i="9"/>
  <c r="AP20" i="9"/>
  <c r="AP21" i="9"/>
  <c r="AP24" i="9"/>
  <c r="AP25" i="9"/>
  <c r="AP26" i="9"/>
  <c r="AP27" i="9"/>
  <c r="AP28" i="9"/>
  <c r="AP29" i="9"/>
  <c r="AP30" i="9"/>
  <c r="AP31" i="9"/>
  <c r="AP32" i="9"/>
  <c r="AP33" i="9"/>
  <c r="AP34" i="9"/>
  <c r="AP35" i="9"/>
  <c r="AP36" i="9"/>
  <c r="AP39" i="9"/>
  <c r="AP40" i="9"/>
  <c r="AP41" i="9"/>
  <c r="AP42" i="9"/>
  <c r="AP43" i="9"/>
  <c r="AP44" i="9"/>
  <c r="AP45" i="9"/>
  <c r="AP46" i="9"/>
  <c r="AP47" i="9"/>
  <c r="AP48" i="9"/>
  <c r="AP49" i="9"/>
  <c r="AP50" i="9"/>
  <c r="AP53" i="9"/>
  <c r="AP54" i="9"/>
  <c r="AP55" i="9"/>
  <c r="AP56" i="9"/>
  <c r="AP57" i="9"/>
  <c r="AP58" i="9"/>
  <c r="AP59" i="9"/>
  <c r="AP60" i="9"/>
  <c r="AP61" i="9"/>
  <c r="AP62" i="9"/>
  <c r="BV52" i="7"/>
  <c r="BV38" i="7"/>
  <c r="BV23" i="7"/>
  <c r="BV5" i="7"/>
  <c r="Y52" i="7"/>
  <c r="Y38" i="7"/>
  <c r="Y23" i="7"/>
  <c r="Y5" i="7"/>
  <c r="Y52" i="8"/>
  <c r="Y38" i="8"/>
  <c r="Y23" i="8"/>
  <c r="Y5" i="8"/>
  <c r="CN52" i="1"/>
  <c r="CN38" i="1"/>
  <c r="CN23" i="1"/>
  <c r="CN5" i="1"/>
  <c r="AP52" i="1"/>
  <c r="AP38" i="1"/>
  <c r="AP23" i="1"/>
  <c r="AP5" i="1"/>
  <c r="T52" i="5"/>
  <c r="T38" i="5"/>
  <c r="T23" i="5"/>
  <c r="T5" i="5"/>
  <c r="U39" i="6" l="1"/>
  <c r="U53" i="6"/>
  <c r="Z53" i="7"/>
  <c r="Z39" i="7"/>
  <c r="U39" i="5"/>
  <c r="U53" i="5"/>
  <c r="CO53" i="1"/>
  <c r="AW39" i="6"/>
  <c r="Z6" i="7"/>
  <c r="AW24" i="6"/>
  <c r="AW53" i="6"/>
  <c r="BW24" i="7"/>
  <c r="BW39" i="7"/>
  <c r="BW53" i="7"/>
  <c r="BV4" i="7"/>
  <c r="BV53" i="7" s="1"/>
  <c r="AQ24" i="1"/>
  <c r="AQ39" i="1"/>
  <c r="AQ53" i="1"/>
  <c r="CO24" i="1"/>
  <c r="CO6" i="1"/>
  <c r="CO39" i="1"/>
  <c r="U24" i="5"/>
  <c r="U6" i="5"/>
  <c r="AR4" i="4"/>
  <c r="AQ3" i="9" s="1"/>
  <c r="T4" i="6"/>
  <c r="AV4" i="6"/>
  <c r="Y4" i="7"/>
  <c r="Y4" i="8"/>
  <c r="Y39" i="8" s="1"/>
  <c r="CN4" i="1"/>
  <c r="AP4" i="1"/>
  <c r="AP24" i="1" s="1"/>
  <c r="T4" i="5"/>
  <c r="AQ52" i="4"/>
  <c r="AQ38" i="4"/>
  <c r="AQ23" i="4"/>
  <c r="AQ5" i="4"/>
  <c r="B6" i="9"/>
  <c r="C6" i="9"/>
  <c r="D6" i="9"/>
  <c r="E6" i="9"/>
  <c r="F6" i="9"/>
  <c r="G6" i="9"/>
  <c r="H6" i="9"/>
  <c r="I6" i="9"/>
  <c r="J6" i="9"/>
  <c r="K6" i="9"/>
  <c r="L6" i="9"/>
  <c r="M6" i="9"/>
  <c r="N6" i="9"/>
  <c r="O6" i="9"/>
  <c r="P6" i="9"/>
  <c r="Q6" i="9"/>
  <c r="R6" i="9"/>
  <c r="S6" i="9"/>
  <c r="T6" i="9"/>
  <c r="U6" i="9"/>
  <c r="V6" i="9"/>
  <c r="W6" i="9"/>
  <c r="X6" i="9"/>
  <c r="Y6" i="9"/>
  <c r="Z6" i="9"/>
  <c r="AA6" i="9"/>
  <c r="AB6" i="9"/>
  <c r="AC6" i="9"/>
  <c r="AD6" i="9"/>
  <c r="AE6" i="9"/>
  <c r="AF6" i="9"/>
  <c r="AG6" i="9"/>
  <c r="AH6" i="9"/>
  <c r="AI6" i="9"/>
  <c r="AJ6" i="9"/>
  <c r="AK6" i="9"/>
  <c r="AL6" i="9"/>
  <c r="AM6" i="9"/>
  <c r="AN6" i="9"/>
  <c r="B7" i="9"/>
  <c r="C7" i="9"/>
  <c r="D7" i="9"/>
  <c r="E7" i="9"/>
  <c r="F7" i="9"/>
  <c r="G7" i="9"/>
  <c r="H7" i="9"/>
  <c r="I7" i="9"/>
  <c r="J7" i="9"/>
  <c r="K7" i="9"/>
  <c r="L7" i="9"/>
  <c r="M7" i="9"/>
  <c r="N7" i="9"/>
  <c r="O7" i="9"/>
  <c r="P7" i="9"/>
  <c r="Q7" i="9"/>
  <c r="R7" i="9"/>
  <c r="S7" i="9"/>
  <c r="T7" i="9"/>
  <c r="U7" i="9"/>
  <c r="V7" i="9"/>
  <c r="W7" i="9"/>
  <c r="X7" i="9"/>
  <c r="Y7" i="9"/>
  <c r="Z7" i="9"/>
  <c r="AA7" i="9"/>
  <c r="AB7" i="9"/>
  <c r="AC7" i="9"/>
  <c r="AD7" i="9"/>
  <c r="AE7" i="9"/>
  <c r="AF7" i="9"/>
  <c r="AG7" i="9"/>
  <c r="AH7" i="9"/>
  <c r="AI7" i="9"/>
  <c r="AJ7" i="9"/>
  <c r="AK7" i="9"/>
  <c r="AL7" i="9"/>
  <c r="AM7" i="9"/>
  <c r="AN7" i="9"/>
  <c r="B8" i="9"/>
  <c r="C8" i="9"/>
  <c r="D8" i="9"/>
  <c r="E8" i="9"/>
  <c r="F8" i="9"/>
  <c r="G8" i="9"/>
  <c r="H8" i="9"/>
  <c r="I8" i="9"/>
  <c r="J8" i="9"/>
  <c r="K8" i="9"/>
  <c r="L8" i="9"/>
  <c r="M8" i="9"/>
  <c r="N8" i="9"/>
  <c r="O8" i="9"/>
  <c r="P8" i="9"/>
  <c r="Q8" i="9"/>
  <c r="R8" i="9"/>
  <c r="S8" i="9"/>
  <c r="T8" i="9"/>
  <c r="U8" i="9"/>
  <c r="V8" i="9"/>
  <c r="W8" i="9"/>
  <c r="X8" i="9"/>
  <c r="Y8" i="9"/>
  <c r="Z8" i="9"/>
  <c r="AA8" i="9"/>
  <c r="AB8" i="9"/>
  <c r="AC8" i="9"/>
  <c r="AD8" i="9"/>
  <c r="AE8" i="9"/>
  <c r="AF8" i="9"/>
  <c r="AG8" i="9"/>
  <c r="AH8" i="9"/>
  <c r="AI8" i="9"/>
  <c r="AJ8" i="9"/>
  <c r="AK8" i="9"/>
  <c r="AL8" i="9"/>
  <c r="AM8" i="9"/>
  <c r="AN8" i="9"/>
  <c r="B9" i="9"/>
  <c r="C9" i="9"/>
  <c r="D9" i="9"/>
  <c r="E9" i="9"/>
  <c r="F9" i="9"/>
  <c r="G9" i="9"/>
  <c r="H9" i="9"/>
  <c r="I9" i="9"/>
  <c r="J9" i="9"/>
  <c r="K9" i="9"/>
  <c r="L9" i="9"/>
  <c r="M9" i="9"/>
  <c r="N9" i="9"/>
  <c r="O9" i="9"/>
  <c r="P9" i="9"/>
  <c r="Q9" i="9"/>
  <c r="R9" i="9"/>
  <c r="S9" i="9"/>
  <c r="T9" i="9"/>
  <c r="U9" i="9"/>
  <c r="V9" i="9"/>
  <c r="W9" i="9"/>
  <c r="X9" i="9"/>
  <c r="Y9" i="9"/>
  <c r="Z9" i="9"/>
  <c r="AA9" i="9"/>
  <c r="AB9" i="9"/>
  <c r="AC9" i="9"/>
  <c r="AD9" i="9"/>
  <c r="AE9" i="9"/>
  <c r="AF9" i="9"/>
  <c r="AG9" i="9"/>
  <c r="AH9" i="9"/>
  <c r="AI9" i="9"/>
  <c r="AJ9" i="9"/>
  <c r="AK9" i="9"/>
  <c r="AL9" i="9"/>
  <c r="AM9" i="9"/>
  <c r="AN9" i="9"/>
  <c r="B10" i="9"/>
  <c r="C10" i="9"/>
  <c r="D10" i="9"/>
  <c r="E10" i="9"/>
  <c r="F10" i="9"/>
  <c r="G10" i="9"/>
  <c r="H10" i="9"/>
  <c r="I10" i="9"/>
  <c r="J10" i="9"/>
  <c r="K10" i="9"/>
  <c r="L10" i="9"/>
  <c r="M10" i="9"/>
  <c r="N10" i="9"/>
  <c r="O10" i="9"/>
  <c r="P10" i="9"/>
  <c r="Q10" i="9"/>
  <c r="R10" i="9"/>
  <c r="S10" i="9"/>
  <c r="T10" i="9"/>
  <c r="U10" i="9"/>
  <c r="V10" i="9"/>
  <c r="W10" i="9"/>
  <c r="X10" i="9"/>
  <c r="Y10" i="9"/>
  <c r="Z10" i="9"/>
  <c r="AA10" i="9"/>
  <c r="AB10" i="9"/>
  <c r="AC10" i="9"/>
  <c r="AD10" i="9"/>
  <c r="AE10" i="9"/>
  <c r="AF10" i="9"/>
  <c r="AG10" i="9"/>
  <c r="AH10" i="9"/>
  <c r="AI10" i="9"/>
  <c r="AJ10" i="9"/>
  <c r="AK10" i="9"/>
  <c r="AL10" i="9"/>
  <c r="AM10" i="9"/>
  <c r="AN10" i="9"/>
  <c r="B11" i="9"/>
  <c r="C11" i="9"/>
  <c r="D11" i="9"/>
  <c r="E11" i="9"/>
  <c r="F11" i="9"/>
  <c r="G11" i="9"/>
  <c r="H11" i="9"/>
  <c r="I11" i="9"/>
  <c r="J11" i="9"/>
  <c r="K11" i="9"/>
  <c r="L11" i="9"/>
  <c r="M11" i="9"/>
  <c r="N11" i="9"/>
  <c r="O11" i="9"/>
  <c r="P11" i="9"/>
  <c r="Q11" i="9"/>
  <c r="R11" i="9"/>
  <c r="S11" i="9"/>
  <c r="T11" i="9"/>
  <c r="U11" i="9"/>
  <c r="V11" i="9"/>
  <c r="W11" i="9"/>
  <c r="X11" i="9"/>
  <c r="Y11" i="9"/>
  <c r="Z11" i="9"/>
  <c r="AA11" i="9"/>
  <c r="AB11" i="9"/>
  <c r="AC11" i="9"/>
  <c r="AD11" i="9"/>
  <c r="AE11" i="9"/>
  <c r="AF11" i="9"/>
  <c r="AG11" i="9"/>
  <c r="AH11" i="9"/>
  <c r="AI11" i="9"/>
  <c r="AJ11" i="9"/>
  <c r="AK11" i="9"/>
  <c r="AL11" i="9"/>
  <c r="AM11" i="9"/>
  <c r="AN11" i="9"/>
  <c r="B12" i="9"/>
  <c r="C12" i="9"/>
  <c r="D12" i="9"/>
  <c r="E12" i="9"/>
  <c r="F12" i="9"/>
  <c r="G12" i="9"/>
  <c r="H12" i="9"/>
  <c r="I12" i="9"/>
  <c r="J12" i="9"/>
  <c r="K12" i="9"/>
  <c r="L12" i="9"/>
  <c r="M12" i="9"/>
  <c r="N12" i="9"/>
  <c r="O12" i="9"/>
  <c r="P12" i="9"/>
  <c r="Q12" i="9"/>
  <c r="R12" i="9"/>
  <c r="S12" i="9"/>
  <c r="T12" i="9"/>
  <c r="U12" i="9"/>
  <c r="V12" i="9"/>
  <c r="W12" i="9"/>
  <c r="X12" i="9"/>
  <c r="Y12" i="9"/>
  <c r="Z12" i="9"/>
  <c r="AA12" i="9"/>
  <c r="AB12" i="9"/>
  <c r="AC12" i="9"/>
  <c r="AD12" i="9"/>
  <c r="AE12" i="9"/>
  <c r="AF12" i="9"/>
  <c r="AG12" i="9"/>
  <c r="AH12" i="9"/>
  <c r="AI12" i="9"/>
  <c r="AJ12" i="9"/>
  <c r="AK12" i="9"/>
  <c r="AL12" i="9"/>
  <c r="AM12" i="9"/>
  <c r="AN12" i="9"/>
  <c r="B13" i="9"/>
  <c r="C13" i="9"/>
  <c r="D13" i="9"/>
  <c r="E13" i="9"/>
  <c r="F13" i="9"/>
  <c r="G13" i="9"/>
  <c r="H13" i="9"/>
  <c r="I13" i="9"/>
  <c r="J13" i="9"/>
  <c r="K13" i="9"/>
  <c r="L13" i="9"/>
  <c r="M13" i="9"/>
  <c r="N13" i="9"/>
  <c r="O13" i="9"/>
  <c r="P13" i="9"/>
  <c r="Q13" i="9"/>
  <c r="R13" i="9"/>
  <c r="S13" i="9"/>
  <c r="T13" i="9"/>
  <c r="U13" i="9"/>
  <c r="V13" i="9"/>
  <c r="W13" i="9"/>
  <c r="X13" i="9"/>
  <c r="Y13" i="9"/>
  <c r="Z13" i="9"/>
  <c r="AA13" i="9"/>
  <c r="AB13" i="9"/>
  <c r="AC13" i="9"/>
  <c r="AD13" i="9"/>
  <c r="AE13" i="9"/>
  <c r="AF13" i="9"/>
  <c r="AG13" i="9"/>
  <c r="AH13" i="9"/>
  <c r="AI13" i="9"/>
  <c r="AJ13" i="9"/>
  <c r="AK13" i="9"/>
  <c r="AL13" i="9"/>
  <c r="AM13" i="9"/>
  <c r="AN13" i="9"/>
  <c r="B14" i="9"/>
  <c r="C14" i="9"/>
  <c r="D14" i="9"/>
  <c r="E14" i="9"/>
  <c r="F14" i="9"/>
  <c r="G14" i="9"/>
  <c r="H14" i="9"/>
  <c r="I14" i="9"/>
  <c r="J14" i="9"/>
  <c r="K14" i="9"/>
  <c r="L14" i="9"/>
  <c r="M14" i="9"/>
  <c r="N14" i="9"/>
  <c r="O14" i="9"/>
  <c r="P14" i="9"/>
  <c r="Q14" i="9"/>
  <c r="R14" i="9"/>
  <c r="S14" i="9"/>
  <c r="T14" i="9"/>
  <c r="U14" i="9"/>
  <c r="V14" i="9"/>
  <c r="W14" i="9"/>
  <c r="X14" i="9"/>
  <c r="Y14" i="9"/>
  <c r="Z14" i="9"/>
  <c r="AA14" i="9"/>
  <c r="AB14" i="9"/>
  <c r="AC14" i="9"/>
  <c r="AD14" i="9"/>
  <c r="AE14" i="9"/>
  <c r="AF14" i="9"/>
  <c r="AG14" i="9"/>
  <c r="AH14" i="9"/>
  <c r="AI14" i="9"/>
  <c r="AJ14" i="9"/>
  <c r="AK14" i="9"/>
  <c r="AL14" i="9"/>
  <c r="AM14" i="9"/>
  <c r="AN14" i="9"/>
  <c r="B15" i="9"/>
  <c r="C15" i="9"/>
  <c r="D15" i="9"/>
  <c r="E15" i="9"/>
  <c r="F15" i="9"/>
  <c r="G15" i="9"/>
  <c r="H15" i="9"/>
  <c r="I15" i="9"/>
  <c r="J15" i="9"/>
  <c r="K15" i="9"/>
  <c r="L15" i="9"/>
  <c r="M15" i="9"/>
  <c r="N15" i="9"/>
  <c r="O15" i="9"/>
  <c r="P15" i="9"/>
  <c r="Q15" i="9"/>
  <c r="R15" i="9"/>
  <c r="S15" i="9"/>
  <c r="T15" i="9"/>
  <c r="U15" i="9"/>
  <c r="V15" i="9"/>
  <c r="W15" i="9"/>
  <c r="X15" i="9"/>
  <c r="Y15" i="9"/>
  <c r="Z15" i="9"/>
  <c r="AA15" i="9"/>
  <c r="AB15" i="9"/>
  <c r="AC15" i="9"/>
  <c r="AD15" i="9"/>
  <c r="AE15" i="9"/>
  <c r="AF15" i="9"/>
  <c r="AG15" i="9"/>
  <c r="AH15" i="9"/>
  <c r="AI15" i="9"/>
  <c r="AJ15" i="9"/>
  <c r="AK15" i="9"/>
  <c r="AL15" i="9"/>
  <c r="AM15" i="9"/>
  <c r="AN15" i="9"/>
  <c r="B16" i="9"/>
  <c r="C16" i="9"/>
  <c r="D16" i="9"/>
  <c r="E16" i="9"/>
  <c r="F16" i="9"/>
  <c r="G16" i="9"/>
  <c r="H16" i="9"/>
  <c r="I16" i="9"/>
  <c r="J16" i="9"/>
  <c r="K16" i="9"/>
  <c r="L16" i="9"/>
  <c r="M16" i="9"/>
  <c r="N16" i="9"/>
  <c r="O16" i="9"/>
  <c r="P16" i="9"/>
  <c r="Q16" i="9"/>
  <c r="R16" i="9"/>
  <c r="S16" i="9"/>
  <c r="T16" i="9"/>
  <c r="U16" i="9"/>
  <c r="V16" i="9"/>
  <c r="W16" i="9"/>
  <c r="X16" i="9"/>
  <c r="Y16" i="9"/>
  <c r="Z16" i="9"/>
  <c r="AA16" i="9"/>
  <c r="AB16" i="9"/>
  <c r="AC16" i="9"/>
  <c r="AD16" i="9"/>
  <c r="AE16" i="9"/>
  <c r="AF16" i="9"/>
  <c r="AG16" i="9"/>
  <c r="AH16" i="9"/>
  <c r="AI16" i="9"/>
  <c r="AJ16" i="9"/>
  <c r="AK16" i="9"/>
  <c r="AL16" i="9"/>
  <c r="AM16" i="9"/>
  <c r="AN16" i="9"/>
  <c r="B17" i="9"/>
  <c r="C17" i="9"/>
  <c r="D17" i="9"/>
  <c r="E17" i="9"/>
  <c r="F17" i="9"/>
  <c r="G17" i="9"/>
  <c r="H17" i="9"/>
  <c r="I17" i="9"/>
  <c r="J17" i="9"/>
  <c r="K17" i="9"/>
  <c r="L17" i="9"/>
  <c r="M17" i="9"/>
  <c r="N17" i="9"/>
  <c r="O17" i="9"/>
  <c r="P17" i="9"/>
  <c r="Q17" i="9"/>
  <c r="R17" i="9"/>
  <c r="S17" i="9"/>
  <c r="T17" i="9"/>
  <c r="U17" i="9"/>
  <c r="V17" i="9"/>
  <c r="W17" i="9"/>
  <c r="X17" i="9"/>
  <c r="Y17" i="9"/>
  <c r="Z17" i="9"/>
  <c r="AA17" i="9"/>
  <c r="AB17" i="9"/>
  <c r="AC17" i="9"/>
  <c r="AD17" i="9"/>
  <c r="AE17" i="9"/>
  <c r="AF17" i="9"/>
  <c r="AG17" i="9"/>
  <c r="AH17" i="9"/>
  <c r="AI17" i="9"/>
  <c r="AJ17" i="9"/>
  <c r="AK17" i="9"/>
  <c r="AL17" i="9"/>
  <c r="AM17" i="9"/>
  <c r="AN17" i="9"/>
  <c r="B18" i="9"/>
  <c r="C18" i="9"/>
  <c r="D18" i="9"/>
  <c r="E18" i="9"/>
  <c r="F18" i="9"/>
  <c r="G18" i="9"/>
  <c r="H18" i="9"/>
  <c r="I18" i="9"/>
  <c r="J18" i="9"/>
  <c r="K18" i="9"/>
  <c r="L18" i="9"/>
  <c r="M18" i="9"/>
  <c r="N18" i="9"/>
  <c r="O18" i="9"/>
  <c r="P18" i="9"/>
  <c r="Q18" i="9"/>
  <c r="R18" i="9"/>
  <c r="S18" i="9"/>
  <c r="T18" i="9"/>
  <c r="U18" i="9"/>
  <c r="V18" i="9"/>
  <c r="W18" i="9"/>
  <c r="X18" i="9"/>
  <c r="Y18" i="9"/>
  <c r="Z18" i="9"/>
  <c r="AA18" i="9"/>
  <c r="AB18" i="9"/>
  <c r="AC18" i="9"/>
  <c r="AD18" i="9"/>
  <c r="AE18" i="9"/>
  <c r="AF18" i="9"/>
  <c r="AG18" i="9"/>
  <c r="AH18" i="9"/>
  <c r="AI18" i="9"/>
  <c r="AJ18" i="9"/>
  <c r="AK18" i="9"/>
  <c r="AL18" i="9"/>
  <c r="AM18" i="9"/>
  <c r="AN18" i="9"/>
  <c r="B19" i="9"/>
  <c r="C19" i="9"/>
  <c r="D19" i="9"/>
  <c r="E19" i="9"/>
  <c r="F19" i="9"/>
  <c r="G19" i="9"/>
  <c r="H19" i="9"/>
  <c r="I19" i="9"/>
  <c r="J19" i="9"/>
  <c r="K19" i="9"/>
  <c r="L19" i="9"/>
  <c r="M19" i="9"/>
  <c r="N19" i="9"/>
  <c r="O19" i="9"/>
  <c r="P19" i="9"/>
  <c r="Q19" i="9"/>
  <c r="R19" i="9"/>
  <c r="S19" i="9"/>
  <c r="T19" i="9"/>
  <c r="U19" i="9"/>
  <c r="V19" i="9"/>
  <c r="W19" i="9"/>
  <c r="X19" i="9"/>
  <c r="Y19" i="9"/>
  <c r="Z19" i="9"/>
  <c r="AA19" i="9"/>
  <c r="AB19" i="9"/>
  <c r="AC19" i="9"/>
  <c r="AD19" i="9"/>
  <c r="AE19" i="9"/>
  <c r="AF19" i="9"/>
  <c r="AG19" i="9"/>
  <c r="AH19" i="9"/>
  <c r="AI19" i="9"/>
  <c r="AJ19" i="9"/>
  <c r="AK19" i="9"/>
  <c r="AL19" i="9"/>
  <c r="AM19" i="9"/>
  <c r="AN19" i="9"/>
  <c r="B20" i="9"/>
  <c r="C20" i="9"/>
  <c r="D20" i="9"/>
  <c r="E20" i="9"/>
  <c r="F20" i="9"/>
  <c r="G20" i="9"/>
  <c r="H20" i="9"/>
  <c r="I20" i="9"/>
  <c r="J20" i="9"/>
  <c r="K20" i="9"/>
  <c r="L20" i="9"/>
  <c r="M20" i="9"/>
  <c r="N20" i="9"/>
  <c r="O20" i="9"/>
  <c r="P20" i="9"/>
  <c r="Q20" i="9"/>
  <c r="R20" i="9"/>
  <c r="S20" i="9"/>
  <c r="T20" i="9"/>
  <c r="U20" i="9"/>
  <c r="V20" i="9"/>
  <c r="W20" i="9"/>
  <c r="X20" i="9"/>
  <c r="Y20" i="9"/>
  <c r="Z20" i="9"/>
  <c r="AA20" i="9"/>
  <c r="AB20" i="9"/>
  <c r="AC20" i="9"/>
  <c r="AD20" i="9"/>
  <c r="AE20" i="9"/>
  <c r="AF20" i="9"/>
  <c r="AG20" i="9"/>
  <c r="AH20" i="9"/>
  <c r="AI20" i="9"/>
  <c r="AJ20" i="9"/>
  <c r="AK20" i="9"/>
  <c r="AL20" i="9"/>
  <c r="AM20" i="9"/>
  <c r="AN20" i="9"/>
  <c r="B21" i="9"/>
  <c r="C21" i="9"/>
  <c r="D21" i="9"/>
  <c r="E21" i="9"/>
  <c r="F21" i="9"/>
  <c r="G21" i="9"/>
  <c r="H21" i="9"/>
  <c r="I21" i="9"/>
  <c r="J21" i="9"/>
  <c r="K21" i="9"/>
  <c r="L21" i="9"/>
  <c r="M21" i="9"/>
  <c r="N21" i="9"/>
  <c r="O21" i="9"/>
  <c r="P21" i="9"/>
  <c r="Q21" i="9"/>
  <c r="R21" i="9"/>
  <c r="S21" i="9"/>
  <c r="T21" i="9"/>
  <c r="U21" i="9"/>
  <c r="V21" i="9"/>
  <c r="W21" i="9"/>
  <c r="X21" i="9"/>
  <c r="Y21" i="9"/>
  <c r="Z21" i="9"/>
  <c r="AA21" i="9"/>
  <c r="AB21" i="9"/>
  <c r="AC21" i="9"/>
  <c r="AD21" i="9"/>
  <c r="AE21" i="9"/>
  <c r="AF21" i="9"/>
  <c r="AG21" i="9"/>
  <c r="AH21" i="9"/>
  <c r="AI21" i="9"/>
  <c r="AJ21" i="9"/>
  <c r="AK21" i="9"/>
  <c r="AL21" i="9"/>
  <c r="AM21" i="9"/>
  <c r="AN21" i="9"/>
  <c r="B24" i="9"/>
  <c r="C24" i="9"/>
  <c r="D24" i="9"/>
  <c r="E24" i="9"/>
  <c r="F24" i="9"/>
  <c r="G24" i="9"/>
  <c r="H24" i="9"/>
  <c r="I24" i="9"/>
  <c r="J24" i="9"/>
  <c r="K24" i="9"/>
  <c r="L24" i="9"/>
  <c r="M24" i="9"/>
  <c r="N24" i="9"/>
  <c r="O24" i="9"/>
  <c r="P24" i="9"/>
  <c r="Q24" i="9"/>
  <c r="R24" i="9"/>
  <c r="S24" i="9"/>
  <c r="T24" i="9"/>
  <c r="U24" i="9"/>
  <c r="V24" i="9"/>
  <c r="W24" i="9"/>
  <c r="X24" i="9"/>
  <c r="Y24" i="9"/>
  <c r="Z24" i="9"/>
  <c r="AA24" i="9"/>
  <c r="AB24" i="9"/>
  <c r="AC24" i="9"/>
  <c r="AD24" i="9"/>
  <c r="AE24" i="9"/>
  <c r="AF24" i="9"/>
  <c r="AG24" i="9"/>
  <c r="AH24" i="9"/>
  <c r="AI24" i="9"/>
  <c r="AJ24" i="9"/>
  <c r="AK24" i="9"/>
  <c r="AL24" i="9"/>
  <c r="AM24" i="9"/>
  <c r="AN24" i="9"/>
  <c r="B25" i="9"/>
  <c r="C25" i="9"/>
  <c r="D25" i="9"/>
  <c r="E25" i="9"/>
  <c r="F25" i="9"/>
  <c r="G25" i="9"/>
  <c r="H25" i="9"/>
  <c r="I25" i="9"/>
  <c r="J25" i="9"/>
  <c r="K25" i="9"/>
  <c r="L25" i="9"/>
  <c r="M25" i="9"/>
  <c r="N25" i="9"/>
  <c r="O25" i="9"/>
  <c r="P25" i="9"/>
  <c r="Q25" i="9"/>
  <c r="R25" i="9"/>
  <c r="S25" i="9"/>
  <c r="T25" i="9"/>
  <c r="U25" i="9"/>
  <c r="V25" i="9"/>
  <c r="W25" i="9"/>
  <c r="X25" i="9"/>
  <c r="Y25" i="9"/>
  <c r="Z25" i="9"/>
  <c r="AA25" i="9"/>
  <c r="AB25" i="9"/>
  <c r="AC25" i="9"/>
  <c r="AD25" i="9"/>
  <c r="AE25" i="9"/>
  <c r="AF25" i="9"/>
  <c r="AG25" i="9"/>
  <c r="AH25" i="9"/>
  <c r="AI25" i="9"/>
  <c r="AJ25" i="9"/>
  <c r="AK25" i="9"/>
  <c r="AL25" i="9"/>
  <c r="AM25" i="9"/>
  <c r="AN25" i="9"/>
  <c r="B26" i="9"/>
  <c r="C26" i="9"/>
  <c r="D26" i="9"/>
  <c r="E26" i="9"/>
  <c r="F26" i="9"/>
  <c r="G26" i="9"/>
  <c r="H26" i="9"/>
  <c r="I26" i="9"/>
  <c r="J26" i="9"/>
  <c r="K26" i="9"/>
  <c r="L26" i="9"/>
  <c r="M26" i="9"/>
  <c r="N26" i="9"/>
  <c r="O26" i="9"/>
  <c r="P26" i="9"/>
  <c r="Q26" i="9"/>
  <c r="R26" i="9"/>
  <c r="S26" i="9"/>
  <c r="T26" i="9"/>
  <c r="U26" i="9"/>
  <c r="V26" i="9"/>
  <c r="W26" i="9"/>
  <c r="X26" i="9"/>
  <c r="Y26" i="9"/>
  <c r="Z26" i="9"/>
  <c r="AA26" i="9"/>
  <c r="AB26" i="9"/>
  <c r="AC26" i="9"/>
  <c r="AD26" i="9"/>
  <c r="AE26" i="9"/>
  <c r="AF26" i="9"/>
  <c r="AG26" i="9"/>
  <c r="AH26" i="9"/>
  <c r="AI26" i="9"/>
  <c r="AJ26" i="9"/>
  <c r="AK26" i="9"/>
  <c r="AL26" i="9"/>
  <c r="AM26" i="9"/>
  <c r="AN26" i="9"/>
  <c r="B27" i="9"/>
  <c r="C27" i="9"/>
  <c r="D27" i="9"/>
  <c r="E27" i="9"/>
  <c r="F27" i="9"/>
  <c r="G27" i="9"/>
  <c r="H27" i="9"/>
  <c r="I27" i="9"/>
  <c r="J27" i="9"/>
  <c r="K27" i="9"/>
  <c r="L27" i="9"/>
  <c r="M27" i="9"/>
  <c r="N27" i="9"/>
  <c r="O27" i="9"/>
  <c r="P27" i="9"/>
  <c r="Q27" i="9"/>
  <c r="R27" i="9"/>
  <c r="S27" i="9"/>
  <c r="T27" i="9"/>
  <c r="U27" i="9"/>
  <c r="V27" i="9"/>
  <c r="W27" i="9"/>
  <c r="X27" i="9"/>
  <c r="Y27" i="9"/>
  <c r="Z27" i="9"/>
  <c r="AA27" i="9"/>
  <c r="AB27" i="9"/>
  <c r="AC27" i="9"/>
  <c r="AD27" i="9"/>
  <c r="AE27" i="9"/>
  <c r="AF27" i="9"/>
  <c r="AG27" i="9"/>
  <c r="AH27" i="9"/>
  <c r="AI27" i="9"/>
  <c r="AJ27" i="9"/>
  <c r="AK27" i="9"/>
  <c r="AL27" i="9"/>
  <c r="AM27" i="9"/>
  <c r="AN27" i="9"/>
  <c r="B28" i="9"/>
  <c r="C28" i="9"/>
  <c r="D28" i="9"/>
  <c r="E28" i="9"/>
  <c r="F28" i="9"/>
  <c r="G28" i="9"/>
  <c r="H28" i="9"/>
  <c r="I28" i="9"/>
  <c r="J28" i="9"/>
  <c r="K28" i="9"/>
  <c r="L28" i="9"/>
  <c r="M28" i="9"/>
  <c r="N28" i="9"/>
  <c r="O28" i="9"/>
  <c r="P28" i="9"/>
  <c r="Q28" i="9"/>
  <c r="R28" i="9"/>
  <c r="S28" i="9"/>
  <c r="T28" i="9"/>
  <c r="U28" i="9"/>
  <c r="V28" i="9"/>
  <c r="W28" i="9"/>
  <c r="X28" i="9"/>
  <c r="Y28" i="9"/>
  <c r="Z28" i="9"/>
  <c r="AA28" i="9"/>
  <c r="AB28" i="9"/>
  <c r="AC28" i="9"/>
  <c r="AD28" i="9"/>
  <c r="AE28" i="9"/>
  <c r="AF28" i="9"/>
  <c r="AG28" i="9"/>
  <c r="AH28" i="9"/>
  <c r="AI28" i="9"/>
  <c r="AJ28" i="9"/>
  <c r="AK28" i="9"/>
  <c r="AL28" i="9"/>
  <c r="AM28" i="9"/>
  <c r="AN28" i="9"/>
  <c r="B29" i="9"/>
  <c r="C29" i="9"/>
  <c r="D29" i="9"/>
  <c r="E29" i="9"/>
  <c r="F29" i="9"/>
  <c r="G29" i="9"/>
  <c r="H29" i="9"/>
  <c r="I29" i="9"/>
  <c r="J29" i="9"/>
  <c r="K29" i="9"/>
  <c r="L29" i="9"/>
  <c r="M29" i="9"/>
  <c r="N29" i="9"/>
  <c r="O29" i="9"/>
  <c r="P29" i="9"/>
  <c r="Q29" i="9"/>
  <c r="R29" i="9"/>
  <c r="S29" i="9"/>
  <c r="T29" i="9"/>
  <c r="U29" i="9"/>
  <c r="V29" i="9"/>
  <c r="W29" i="9"/>
  <c r="X29" i="9"/>
  <c r="Y29" i="9"/>
  <c r="Z29" i="9"/>
  <c r="AA29" i="9"/>
  <c r="AB29" i="9"/>
  <c r="AC29" i="9"/>
  <c r="AD29" i="9"/>
  <c r="AE29" i="9"/>
  <c r="AF29" i="9"/>
  <c r="AG29" i="9"/>
  <c r="AH29" i="9"/>
  <c r="AI29" i="9"/>
  <c r="AJ29" i="9"/>
  <c r="AK29" i="9"/>
  <c r="AL29" i="9"/>
  <c r="AM29" i="9"/>
  <c r="AN29" i="9"/>
  <c r="B30" i="9"/>
  <c r="C30" i="9"/>
  <c r="D30" i="9"/>
  <c r="E30" i="9"/>
  <c r="F30" i="9"/>
  <c r="G30" i="9"/>
  <c r="H30" i="9"/>
  <c r="I30" i="9"/>
  <c r="J30" i="9"/>
  <c r="K30" i="9"/>
  <c r="L30" i="9"/>
  <c r="M30" i="9"/>
  <c r="N30" i="9"/>
  <c r="O30" i="9"/>
  <c r="P30" i="9"/>
  <c r="Q30" i="9"/>
  <c r="R30" i="9"/>
  <c r="S30" i="9"/>
  <c r="T30" i="9"/>
  <c r="U30" i="9"/>
  <c r="V30" i="9"/>
  <c r="W30" i="9"/>
  <c r="X30" i="9"/>
  <c r="Y30" i="9"/>
  <c r="Z30" i="9"/>
  <c r="AA30" i="9"/>
  <c r="AB30" i="9"/>
  <c r="AC30" i="9"/>
  <c r="AD30" i="9"/>
  <c r="AE30" i="9"/>
  <c r="AF30" i="9"/>
  <c r="AG30" i="9"/>
  <c r="AH30" i="9"/>
  <c r="AI30" i="9"/>
  <c r="AJ30" i="9"/>
  <c r="AK30" i="9"/>
  <c r="AL30" i="9"/>
  <c r="AM30" i="9"/>
  <c r="AN30" i="9"/>
  <c r="B31" i="9"/>
  <c r="C31" i="9"/>
  <c r="D31" i="9"/>
  <c r="E31" i="9"/>
  <c r="F31" i="9"/>
  <c r="G31" i="9"/>
  <c r="H31" i="9"/>
  <c r="I31" i="9"/>
  <c r="J31" i="9"/>
  <c r="K31" i="9"/>
  <c r="L31" i="9"/>
  <c r="M31" i="9"/>
  <c r="N31" i="9"/>
  <c r="O31" i="9"/>
  <c r="P31" i="9"/>
  <c r="Q31" i="9"/>
  <c r="R31" i="9"/>
  <c r="S31" i="9"/>
  <c r="T31" i="9"/>
  <c r="U31" i="9"/>
  <c r="V31" i="9"/>
  <c r="W31" i="9"/>
  <c r="X31" i="9"/>
  <c r="Y31" i="9"/>
  <c r="Z31" i="9"/>
  <c r="AA31" i="9"/>
  <c r="AB31" i="9"/>
  <c r="AC31" i="9"/>
  <c r="AD31" i="9"/>
  <c r="AE31" i="9"/>
  <c r="AF31" i="9"/>
  <c r="AG31" i="9"/>
  <c r="AH31" i="9"/>
  <c r="AI31" i="9"/>
  <c r="AJ31" i="9"/>
  <c r="AK31" i="9"/>
  <c r="AL31" i="9"/>
  <c r="AM31" i="9"/>
  <c r="AN31" i="9"/>
  <c r="B32" i="9"/>
  <c r="C32" i="9"/>
  <c r="D32" i="9"/>
  <c r="E32" i="9"/>
  <c r="F32" i="9"/>
  <c r="G32" i="9"/>
  <c r="H32" i="9"/>
  <c r="I32" i="9"/>
  <c r="J32" i="9"/>
  <c r="K32" i="9"/>
  <c r="L32" i="9"/>
  <c r="M32" i="9"/>
  <c r="N32" i="9"/>
  <c r="O32" i="9"/>
  <c r="P32" i="9"/>
  <c r="Q32" i="9"/>
  <c r="R32" i="9"/>
  <c r="S32" i="9"/>
  <c r="T32" i="9"/>
  <c r="U32" i="9"/>
  <c r="V32" i="9"/>
  <c r="W32" i="9"/>
  <c r="X32" i="9"/>
  <c r="Y32" i="9"/>
  <c r="Z32" i="9"/>
  <c r="AA32" i="9"/>
  <c r="AB32" i="9"/>
  <c r="AC32" i="9"/>
  <c r="AD32" i="9"/>
  <c r="AE32" i="9"/>
  <c r="AF32" i="9"/>
  <c r="AG32" i="9"/>
  <c r="AH32" i="9"/>
  <c r="AI32" i="9"/>
  <c r="AJ32" i="9"/>
  <c r="AK32" i="9"/>
  <c r="AL32" i="9"/>
  <c r="AM32" i="9"/>
  <c r="AN32" i="9"/>
  <c r="B33" i="9"/>
  <c r="C33" i="9"/>
  <c r="D33" i="9"/>
  <c r="E33" i="9"/>
  <c r="F33" i="9"/>
  <c r="G33" i="9"/>
  <c r="H33" i="9"/>
  <c r="I33" i="9"/>
  <c r="J33" i="9"/>
  <c r="K33" i="9"/>
  <c r="L33" i="9"/>
  <c r="M33" i="9"/>
  <c r="N33" i="9"/>
  <c r="O33" i="9"/>
  <c r="P33" i="9"/>
  <c r="Q33" i="9"/>
  <c r="R33" i="9"/>
  <c r="S33" i="9"/>
  <c r="T33" i="9"/>
  <c r="U33" i="9"/>
  <c r="V33" i="9"/>
  <c r="W33" i="9"/>
  <c r="X33" i="9"/>
  <c r="Y33" i="9"/>
  <c r="Z33" i="9"/>
  <c r="AA33" i="9"/>
  <c r="AB33" i="9"/>
  <c r="AC33" i="9"/>
  <c r="AD33" i="9"/>
  <c r="AE33" i="9"/>
  <c r="AF33" i="9"/>
  <c r="AG33" i="9"/>
  <c r="AH33" i="9"/>
  <c r="AI33" i="9"/>
  <c r="AJ33" i="9"/>
  <c r="AK33" i="9"/>
  <c r="AL33" i="9"/>
  <c r="AM33" i="9"/>
  <c r="AN33" i="9"/>
  <c r="B34" i="9"/>
  <c r="C34" i="9"/>
  <c r="D34" i="9"/>
  <c r="E34" i="9"/>
  <c r="F34" i="9"/>
  <c r="G34" i="9"/>
  <c r="H34" i="9"/>
  <c r="I34" i="9"/>
  <c r="J34" i="9"/>
  <c r="K34" i="9"/>
  <c r="L34" i="9"/>
  <c r="M34" i="9"/>
  <c r="N34" i="9"/>
  <c r="O34" i="9"/>
  <c r="P34" i="9"/>
  <c r="Q34" i="9"/>
  <c r="R34" i="9"/>
  <c r="S34" i="9"/>
  <c r="T34" i="9"/>
  <c r="U34" i="9"/>
  <c r="V34" i="9"/>
  <c r="W34" i="9"/>
  <c r="X34" i="9"/>
  <c r="Y34" i="9"/>
  <c r="Z34" i="9"/>
  <c r="AA34" i="9"/>
  <c r="AB34" i="9"/>
  <c r="AC34" i="9"/>
  <c r="AD34" i="9"/>
  <c r="AE34" i="9"/>
  <c r="AF34" i="9"/>
  <c r="AG34" i="9"/>
  <c r="AH34" i="9"/>
  <c r="AI34" i="9"/>
  <c r="AJ34" i="9"/>
  <c r="AK34" i="9"/>
  <c r="AL34" i="9"/>
  <c r="AM34" i="9"/>
  <c r="AN34" i="9"/>
  <c r="B35" i="9"/>
  <c r="C35" i="9"/>
  <c r="D35" i="9"/>
  <c r="E35" i="9"/>
  <c r="F35" i="9"/>
  <c r="G35" i="9"/>
  <c r="H35" i="9"/>
  <c r="I35" i="9"/>
  <c r="J35" i="9"/>
  <c r="K35" i="9"/>
  <c r="L35" i="9"/>
  <c r="M35" i="9"/>
  <c r="N35" i="9"/>
  <c r="O35" i="9"/>
  <c r="P35" i="9"/>
  <c r="Q35" i="9"/>
  <c r="R35" i="9"/>
  <c r="S35" i="9"/>
  <c r="T35" i="9"/>
  <c r="U35" i="9"/>
  <c r="V35" i="9"/>
  <c r="W35" i="9"/>
  <c r="X35" i="9"/>
  <c r="Y35" i="9"/>
  <c r="Z35" i="9"/>
  <c r="AA35" i="9"/>
  <c r="AB35" i="9"/>
  <c r="AC35" i="9"/>
  <c r="AD35" i="9"/>
  <c r="AE35" i="9"/>
  <c r="AF35" i="9"/>
  <c r="AG35" i="9"/>
  <c r="AH35" i="9"/>
  <c r="AI35" i="9"/>
  <c r="AJ35" i="9"/>
  <c r="AK35" i="9"/>
  <c r="AL35" i="9"/>
  <c r="AM35" i="9"/>
  <c r="AN35" i="9"/>
  <c r="B36" i="9"/>
  <c r="C36" i="9"/>
  <c r="D36" i="9"/>
  <c r="E36" i="9"/>
  <c r="F36" i="9"/>
  <c r="G36" i="9"/>
  <c r="H36" i="9"/>
  <c r="I36" i="9"/>
  <c r="J36" i="9"/>
  <c r="K36" i="9"/>
  <c r="L36" i="9"/>
  <c r="M36" i="9"/>
  <c r="N36" i="9"/>
  <c r="O36" i="9"/>
  <c r="P36" i="9"/>
  <c r="Q36" i="9"/>
  <c r="R36" i="9"/>
  <c r="S36" i="9"/>
  <c r="T36" i="9"/>
  <c r="U36" i="9"/>
  <c r="V36" i="9"/>
  <c r="W36" i="9"/>
  <c r="X36" i="9"/>
  <c r="Y36" i="9"/>
  <c r="Z36" i="9"/>
  <c r="AA36" i="9"/>
  <c r="AB36" i="9"/>
  <c r="AC36" i="9"/>
  <c r="AD36" i="9"/>
  <c r="AE36" i="9"/>
  <c r="AF36" i="9"/>
  <c r="AG36" i="9"/>
  <c r="AH36" i="9"/>
  <c r="AI36" i="9"/>
  <c r="AJ36" i="9"/>
  <c r="AK36" i="9"/>
  <c r="AL36" i="9"/>
  <c r="AM36" i="9"/>
  <c r="AN36" i="9"/>
  <c r="B39" i="9"/>
  <c r="C39" i="9"/>
  <c r="D39" i="9"/>
  <c r="E39" i="9"/>
  <c r="F39" i="9"/>
  <c r="G39" i="9"/>
  <c r="H39" i="9"/>
  <c r="I39" i="9"/>
  <c r="J39" i="9"/>
  <c r="K39" i="9"/>
  <c r="L39" i="9"/>
  <c r="M39" i="9"/>
  <c r="N39" i="9"/>
  <c r="O39" i="9"/>
  <c r="P39" i="9"/>
  <c r="Q39" i="9"/>
  <c r="R39" i="9"/>
  <c r="S39" i="9"/>
  <c r="T39" i="9"/>
  <c r="U39" i="9"/>
  <c r="V39" i="9"/>
  <c r="W39" i="9"/>
  <c r="X39" i="9"/>
  <c r="Y39" i="9"/>
  <c r="Z39" i="9"/>
  <c r="AA39" i="9"/>
  <c r="AB39" i="9"/>
  <c r="AC39" i="9"/>
  <c r="AD39" i="9"/>
  <c r="AE39" i="9"/>
  <c r="AF39" i="9"/>
  <c r="AG39" i="9"/>
  <c r="AH39" i="9"/>
  <c r="AI39" i="9"/>
  <c r="AJ39" i="9"/>
  <c r="AK39" i="9"/>
  <c r="AL39" i="9"/>
  <c r="AM39" i="9"/>
  <c r="AN39" i="9"/>
  <c r="B40" i="9"/>
  <c r="C40" i="9"/>
  <c r="D40" i="9"/>
  <c r="E40" i="9"/>
  <c r="F40" i="9"/>
  <c r="G40" i="9"/>
  <c r="H40" i="9"/>
  <c r="I40" i="9"/>
  <c r="J40" i="9"/>
  <c r="K40" i="9"/>
  <c r="L40" i="9"/>
  <c r="M40" i="9"/>
  <c r="N40" i="9"/>
  <c r="O40" i="9"/>
  <c r="P40" i="9"/>
  <c r="Q40" i="9"/>
  <c r="R40" i="9"/>
  <c r="S40" i="9"/>
  <c r="T40" i="9"/>
  <c r="U40" i="9"/>
  <c r="V40" i="9"/>
  <c r="W40" i="9"/>
  <c r="X40" i="9"/>
  <c r="Y40" i="9"/>
  <c r="Z40" i="9"/>
  <c r="AA40" i="9"/>
  <c r="AB40" i="9"/>
  <c r="AC40" i="9"/>
  <c r="AD40" i="9"/>
  <c r="AE40" i="9"/>
  <c r="AF40" i="9"/>
  <c r="AG40" i="9"/>
  <c r="AH40" i="9"/>
  <c r="AI40" i="9"/>
  <c r="AJ40" i="9"/>
  <c r="AK40" i="9"/>
  <c r="AL40" i="9"/>
  <c r="AM40" i="9"/>
  <c r="AN40" i="9"/>
  <c r="B41" i="9"/>
  <c r="C41" i="9"/>
  <c r="D41" i="9"/>
  <c r="E41" i="9"/>
  <c r="F41" i="9"/>
  <c r="G41" i="9"/>
  <c r="H41" i="9"/>
  <c r="I41" i="9"/>
  <c r="J41" i="9"/>
  <c r="K41" i="9"/>
  <c r="L41" i="9"/>
  <c r="M41" i="9"/>
  <c r="N41" i="9"/>
  <c r="O41" i="9"/>
  <c r="P41" i="9"/>
  <c r="Q41" i="9"/>
  <c r="R41" i="9"/>
  <c r="S41" i="9"/>
  <c r="T41" i="9"/>
  <c r="U41" i="9"/>
  <c r="V41" i="9"/>
  <c r="W41" i="9"/>
  <c r="X41" i="9"/>
  <c r="Y41" i="9"/>
  <c r="Z41" i="9"/>
  <c r="AA41" i="9"/>
  <c r="AB41" i="9"/>
  <c r="AC41" i="9"/>
  <c r="AD41" i="9"/>
  <c r="AE41" i="9"/>
  <c r="AF41" i="9"/>
  <c r="AG41" i="9"/>
  <c r="AH41" i="9"/>
  <c r="AI41" i="9"/>
  <c r="AJ41" i="9"/>
  <c r="AK41" i="9"/>
  <c r="AL41" i="9"/>
  <c r="AM41" i="9"/>
  <c r="AN41" i="9"/>
  <c r="B42" i="9"/>
  <c r="C42" i="9"/>
  <c r="D42" i="9"/>
  <c r="E42" i="9"/>
  <c r="F42" i="9"/>
  <c r="G42" i="9"/>
  <c r="H42" i="9"/>
  <c r="I42" i="9"/>
  <c r="J42" i="9"/>
  <c r="K42" i="9"/>
  <c r="L42" i="9"/>
  <c r="M42" i="9"/>
  <c r="N42" i="9"/>
  <c r="O42" i="9"/>
  <c r="P42" i="9"/>
  <c r="Q42" i="9"/>
  <c r="R42" i="9"/>
  <c r="S42" i="9"/>
  <c r="T42" i="9"/>
  <c r="U42" i="9"/>
  <c r="V42" i="9"/>
  <c r="W42" i="9"/>
  <c r="X42" i="9"/>
  <c r="Y42" i="9"/>
  <c r="Z42" i="9"/>
  <c r="AA42" i="9"/>
  <c r="AB42" i="9"/>
  <c r="AC42" i="9"/>
  <c r="AD42" i="9"/>
  <c r="AE42" i="9"/>
  <c r="AF42" i="9"/>
  <c r="AG42" i="9"/>
  <c r="AH42" i="9"/>
  <c r="AI42" i="9"/>
  <c r="AJ42" i="9"/>
  <c r="AK42" i="9"/>
  <c r="AL42" i="9"/>
  <c r="AM42" i="9"/>
  <c r="AN42" i="9"/>
  <c r="B43" i="9"/>
  <c r="C43" i="9"/>
  <c r="D43" i="9"/>
  <c r="E43" i="9"/>
  <c r="F43" i="9"/>
  <c r="G43" i="9"/>
  <c r="H43" i="9"/>
  <c r="I43" i="9"/>
  <c r="J43" i="9"/>
  <c r="K43" i="9"/>
  <c r="L43" i="9"/>
  <c r="M43" i="9"/>
  <c r="N43" i="9"/>
  <c r="O43" i="9"/>
  <c r="P43" i="9"/>
  <c r="Q43" i="9"/>
  <c r="R43" i="9"/>
  <c r="S43" i="9"/>
  <c r="T43" i="9"/>
  <c r="U43" i="9"/>
  <c r="V43" i="9"/>
  <c r="W43" i="9"/>
  <c r="X43" i="9"/>
  <c r="Y43" i="9"/>
  <c r="Z43" i="9"/>
  <c r="AA43" i="9"/>
  <c r="AB43" i="9"/>
  <c r="AC43" i="9"/>
  <c r="AD43" i="9"/>
  <c r="AE43" i="9"/>
  <c r="AF43" i="9"/>
  <c r="AG43" i="9"/>
  <c r="AH43" i="9"/>
  <c r="AI43" i="9"/>
  <c r="AJ43" i="9"/>
  <c r="AK43" i="9"/>
  <c r="AL43" i="9"/>
  <c r="AM43" i="9"/>
  <c r="AN43" i="9"/>
  <c r="B44" i="9"/>
  <c r="C44" i="9"/>
  <c r="D44" i="9"/>
  <c r="E44" i="9"/>
  <c r="F44" i="9"/>
  <c r="G44" i="9"/>
  <c r="H44" i="9"/>
  <c r="I44" i="9"/>
  <c r="J44" i="9"/>
  <c r="K44" i="9"/>
  <c r="L44" i="9"/>
  <c r="M44" i="9"/>
  <c r="N44" i="9"/>
  <c r="O44" i="9"/>
  <c r="P44" i="9"/>
  <c r="Q44" i="9"/>
  <c r="R44" i="9"/>
  <c r="S44" i="9"/>
  <c r="T44" i="9"/>
  <c r="U44" i="9"/>
  <c r="V44" i="9"/>
  <c r="W44" i="9"/>
  <c r="X44" i="9"/>
  <c r="Y44" i="9"/>
  <c r="Z44" i="9"/>
  <c r="AA44" i="9"/>
  <c r="AB44" i="9"/>
  <c r="AC44" i="9"/>
  <c r="AD44" i="9"/>
  <c r="AE44" i="9"/>
  <c r="AF44" i="9"/>
  <c r="AG44" i="9"/>
  <c r="AH44" i="9"/>
  <c r="AI44" i="9"/>
  <c r="AJ44" i="9"/>
  <c r="AK44" i="9"/>
  <c r="AL44" i="9"/>
  <c r="AM44" i="9"/>
  <c r="AN44" i="9"/>
  <c r="B45" i="9"/>
  <c r="C45" i="9"/>
  <c r="D45" i="9"/>
  <c r="E45" i="9"/>
  <c r="F45" i="9"/>
  <c r="G45" i="9"/>
  <c r="H45" i="9"/>
  <c r="I45" i="9"/>
  <c r="J45" i="9"/>
  <c r="K45" i="9"/>
  <c r="L45" i="9"/>
  <c r="M45" i="9"/>
  <c r="N45" i="9"/>
  <c r="O45" i="9"/>
  <c r="P45" i="9"/>
  <c r="Q45" i="9"/>
  <c r="R45" i="9"/>
  <c r="S45" i="9"/>
  <c r="T45" i="9"/>
  <c r="U45" i="9"/>
  <c r="V45" i="9"/>
  <c r="W45" i="9"/>
  <c r="X45" i="9"/>
  <c r="Y45" i="9"/>
  <c r="Z45" i="9"/>
  <c r="AA45" i="9"/>
  <c r="AB45" i="9"/>
  <c r="AC45" i="9"/>
  <c r="AD45" i="9"/>
  <c r="AE45" i="9"/>
  <c r="AF45" i="9"/>
  <c r="AG45" i="9"/>
  <c r="AH45" i="9"/>
  <c r="AI45" i="9"/>
  <c r="AJ45" i="9"/>
  <c r="AK45" i="9"/>
  <c r="AL45" i="9"/>
  <c r="AM45" i="9"/>
  <c r="AN45" i="9"/>
  <c r="B46" i="9"/>
  <c r="C46" i="9"/>
  <c r="D46" i="9"/>
  <c r="E46" i="9"/>
  <c r="F46" i="9"/>
  <c r="G46" i="9"/>
  <c r="H46" i="9"/>
  <c r="I46" i="9"/>
  <c r="J46" i="9"/>
  <c r="K46" i="9"/>
  <c r="L46" i="9"/>
  <c r="M46" i="9"/>
  <c r="N46" i="9"/>
  <c r="O46" i="9"/>
  <c r="P46" i="9"/>
  <c r="Q46" i="9"/>
  <c r="R46" i="9"/>
  <c r="S46" i="9"/>
  <c r="T46" i="9"/>
  <c r="U46" i="9"/>
  <c r="V46" i="9"/>
  <c r="W46" i="9"/>
  <c r="X46" i="9"/>
  <c r="Y46" i="9"/>
  <c r="Z46" i="9"/>
  <c r="AA46" i="9"/>
  <c r="AB46" i="9"/>
  <c r="AC46" i="9"/>
  <c r="AD46" i="9"/>
  <c r="AE46" i="9"/>
  <c r="AF46" i="9"/>
  <c r="AG46" i="9"/>
  <c r="AH46" i="9"/>
  <c r="AI46" i="9"/>
  <c r="AJ46" i="9"/>
  <c r="AK46" i="9"/>
  <c r="AL46" i="9"/>
  <c r="AM46" i="9"/>
  <c r="AN46" i="9"/>
  <c r="B47" i="9"/>
  <c r="C47" i="9"/>
  <c r="D47" i="9"/>
  <c r="E47" i="9"/>
  <c r="F47" i="9"/>
  <c r="G47" i="9"/>
  <c r="H47" i="9"/>
  <c r="I47" i="9"/>
  <c r="J47" i="9"/>
  <c r="K47" i="9"/>
  <c r="L47" i="9"/>
  <c r="M47" i="9"/>
  <c r="N47" i="9"/>
  <c r="O47" i="9"/>
  <c r="P47" i="9"/>
  <c r="Q47" i="9"/>
  <c r="R47" i="9"/>
  <c r="S47" i="9"/>
  <c r="T47" i="9"/>
  <c r="U47" i="9"/>
  <c r="V47" i="9"/>
  <c r="W47" i="9"/>
  <c r="X47" i="9"/>
  <c r="Y47" i="9"/>
  <c r="Z47" i="9"/>
  <c r="AA47" i="9"/>
  <c r="AB47" i="9"/>
  <c r="AC47" i="9"/>
  <c r="AD47" i="9"/>
  <c r="AE47" i="9"/>
  <c r="AF47" i="9"/>
  <c r="AG47" i="9"/>
  <c r="AH47" i="9"/>
  <c r="AI47" i="9"/>
  <c r="AJ47" i="9"/>
  <c r="AK47" i="9"/>
  <c r="AL47" i="9"/>
  <c r="AM47" i="9"/>
  <c r="AN47" i="9"/>
  <c r="B48" i="9"/>
  <c r="C48" i="9"/>
  <c r="D48" i="9"/>
  <c r="E48" i="9"/>
  <c r="F48" i="9"/>
  <c r="G48" i="9"/>
  <c r="H48" i="9"/>
  <c r="I48" i="9"/>
  <c r="J48" i="9"/>
  <c r="K48" i="9"/>
  <c r="L48" i="9"/>
  <c r="M48" i="9"/>
  <c r="N48" i="9"/>
  <c r="O48" i="9"/>
  <c r="P48" i="9"/>
  <c r="Q48" i="9"/>
  <c r="R48" i="9"/>
  <c r="S48" i="9"/>
  <c r="T48" i="9"/>
  <c r="U48" i="9"/>
  <c r="V48" i="9"/>
  <c r="W48" i="9"/>
  <c r="X48" i="9"/>
  <c r="Y48" i="9"/>
  <c r="Z48" i="9"/>
  <c r="AA48" i="9"/>
  <c r="AB48" i="9"/>
  <c r="AC48" i="9"/>
  <c r="AD48" i="9"/>
  <c r="AE48" i="9"/>
  <c r="AF48" i="9"/>
  <c r="AG48" i="9"/>
  <c r="AH48" i="9"/>
  <c r="AI48" i="9"/>
  <c r="AJ48" i="9"/>
  <c r="AK48" i="9"/>
  <c r="AL48" i="9"/>
  <c r="AM48" i="9"/>
  <c r="AN48" i="9"/>
  <c r="B49" i="9"/>
  <c r="C49" i="9"/>
  <c r="D49" i="9"/>
  <c r="E49" i="9"/>
  <c r="F49" i="9"/>
  <c r="G49" i="9"/>
  <c r="H49" i="9"/>
  <c r="I49" i="9"/>
  <c r="J49" i="9"/>
  <c r="K49" i="9"/>
  <c r="L49" i="9"/>
  <c r="M49" i="9"/>
  <c r="N49" i="9"/>
  <c r="O49" i="9"/>
  <c r="P49" i="9"/>
  <c r="Q49" i="9"/>
  <c r="R49" i="9"/>
  <c r="S49" i="9"/>
  <c r="T49" i="9"/>
  <c r="U49" i="9"/>
  <c r="V49" i="9"/>
  <c r="W49" i="9"/>
  <c r="X49" i="9"/>
  <c r="Y49" i="9"/>
  <c r="Z49" i="9"/>
  <c r="AA49" i="9"/>
  <c r="AB49" i="9"/>
  <c r="AC49" i="9"/>
  <c r="AD49" i="9"/>
  <c r="AE49" i="9"/>
  <c r="AF49" i="9"/>
  <c r="AG49" i="9"/>
  <c r="AH49" i="9"/>
  <c r="AI49" i="9"/>
  <c r="AJ49" i="9"/>
  <c r="AK49" i="9"/>
  <c r="AL49" i="9"/>
  <c r="AM49" i="9"/>
  <c r="AN49" i="9"/>
  <c r="B50" i="9"/>
  <c r="C50" i="9"/>
  <c r="D50" i="9"/>
  <c r="E50" i="9"/>
  <c r="F50" i="9"/>
  <c r="G50" i="9"/>
  <c r="H50" i="9"/>
  <c r="I50" i="9"/>
  <c r="J50" i="9"/>
  <c r="K50" i="9"/>
  <c r="L50" i="9"/>
  <c r="M50" i="9"/>
  <c r="N50" i="9"/>
  <c r="O50" i="9"/>
  <c r="P50" i="9"/>
  <c r="Q50" i="9"/>
  <c r="R50" i="9"/>
  <c r="S50" i="9"/>
  <c r="T50" i="9"/>
  <c r="U50" i="9"/>
  <c r="V50" i="9"/>
  <c r="W50" i="9"/>
  <c r="X50" i="9"/>
  <c r="Y50" i="9"/>
  <c r="Z50" i="9"/>
  <c r="AA50" i="9"/>
  <c r="AB50" i="9"/>
  <c r="AC50" i="9"/>
  <c r="AD50" i="9"/>
  <c r="AE50" i="9"/>
  <c r="AF50" i="9"/>
  <c r="AG50" i="9"/>
  <c r="AH50" i="9"/>
  <c r="AI50" i="9"/>
  <c r="AJ50" i="9"/>
  <c r="AK50" i="9"/>
  <c r="AL50" i="9"/>
  <c r="AM50" i="9"/>
  <c r="AN50" i="9"/>
  <c r="B53" i="9"/>
  <c r="C53" i="9"/>
  <c r="D53" i="9"/>
  <c r="E53" i="9"/>
  <c r="F53" i="9"/>
  <c r="G53" i="9"/>
  <c r="H53" i="9"/>
  <c r="I53" i="9"/>
  <c r="J53" i="9"/>
  <c r="K53" i="9"/>
  <c r="L53" i="9"/>
  <c r="M53" i="9"/>
  <c r="N53" i="9"/>
  <c r="O53" i="9"/>
  <c r="P53" i="9"/>
  <c r="Q53" i="9"/>
  <c r="R53" i="9"/>
  <c r="S53" i="9"/>
  <c r="T53" i="9"/>
  <c r="U53" i="9"/>
  <c r="V53" i="9"/>
  <c r="W53" i="9"/>
  <c r="X53" i="9"/>
  <c r="Y53" i="9"/>
  <c r="Z53" i="9"/>
  <c r="AA53" i="9"/>
  <c r="AB53" i="9"/>
  <c r="AC53" i="9"/>
  <c r="AD53" i="9"/>
  <c r="AE53" i="9"/>
  <c r="AF53" i="9"/>
  <c r="AG53" i="9"/>
  <c r="AH53" i="9"/>
  <c r="AI53" i="9"/>
  <c r="AJ53" i="9"/>
  <c r="AK53" i="9"/>
  <c r="AL53" i="9"/>
  <c r="AM53" i="9"/>
  <c r="AN53" i="9"/>
  <c r="B54" i="9"/>
  <c r="C54" i="9"/>
  <c r="D54" i="9"/>
  <c r="E54" i="9"/>
  <c r="F54" i="9"/>
  <c r="G54" i="9"/>
  <c r="H54" i="9"/>
  <c r="I54" i="9"/>
  <c r="J54" i="9"/>
  <c r="K54" i="9"/>
  <c r="L54" i="9"/>
  <c r="M54" i="9"/>
  <c r="N54" i="9"/>
  <c r="O54" i="9"/>
  <c r="P54" i="9"/>
  <c r="Q54" i="9"/>
  <c r="R54" i="9"/>
  <c r="S54" i="9"/>
  <c r="T54" i="9"/>
  <c r="U54" i="9"/>
  <c r="V54" i="9"/>
  <c r="W54" i="9"/>
  <c r="X54" i="9"/>
  <c r="Y54" i="9"/>
  <c r="Z54" i="9"/>
  <c r="AA54" i="9"/>
  <c r="AB54" i="9"/>
  <c r="AC54" i="9"/>
  <c r="AD54" i="9"/>
  <c r="AE54" i="9"/>
  <c r="AF54" i="9"/>
  <c r="AG54" i="9"/>
  <c r="AH54" i="9"/>
  <c r="AI54" i="9"/>
  <c r="AJ54" i="9"/>
  <c r="AK54" i="9"/>
  <c r="AL54" i="9"/>
  <c r="AM54" i="9"/>
  <c r="AN54" i="9"/>
  <c r="B55" i="9"/>
  <c r="C55" i="9"/>
  <c r="D55" i="9"/>
  <c r="E55" i="9"/>
  <c r="F55" i="9"/>
  <c r="G55" i="9"/>
  <c r="H55" i="9"/>
  <c r="I55" i="9"/>
  <c r="J55" i="9"/>
  <c r="K55" i="9"/>
  <c r="L55" i="9"/>
  <c r="M55" i="9"/>
  <c r="N55" i="9"/>
  <c r="O55" i="9"/>
  <c r="P55" i="9"/>
  <c r="Q55" i="9"/>
  <c r="R55" i="9"/>
  <c r="S55" i="9"/>
  <c r="T55" i="9"/>
  <c r="U55" i="9"/>
  <c r="V55" i="9"/>
  <c r="W55" i="9"/>
  <c r="X55" i="9"/>
  <c r="Y55" i="9"/>
  <c r="Z55" i="9"/>
  <c r="AA55" i="9"/>
  <c r="AB55" i="9"/>
  <c r="AC55" i="9"/>
  <c r="AD55" i="9"/>
  <c r="AE55" i="9"/>
  <c r="AF55" i="9"/>
  <c r="AG55" i="9"/>
  <c r="AH55" i="9"/>
  <c r="AI55" i="9"/>
  <c r="AJ55" i="9"/>
  <c r="AK55" i="9"/>
  <c r="AL55" i="9"/>
  <c r="AM55" i="9"/>
  <c r="AN55" i="9"/>
  <c r="B56" i="9"/>
  <c r="C56" i="9"/>
  <c r="D56" i="9"/>
  <c r="E56" i="9"/>
  <c r="F56" i="9"/>
  <c r="G56" i="9"/>
  <c r="H56" i="9"/>
  <c r="I56" i="9"/>
  <c r="J56" i="9"/>
  <c r="K56" i="9"/>
  <c r="L56" i="9"/>
  <c r="M56" i="9"/>
  <c r="N56" i="9"/>
  <c r="O56" i="9"/>
  <c r="P56" i="9"/>
  <c r="Q56" i="9"/>
  <c r="R56" i="9"/>
  <c r="S56" i="9"/>
  <c r="T56" i="9"/>
  <c r="U56" i="9"/>
  <c r="V56" i="9"/>
  <c r="W56" i="9"/>
  <c r="X56" i="9"/>
  <c r="Y56" i="9"/>
  <c r="Z56" i="9"/>
  <c r="AA56" i="9"/>
  <c r="AB56" i="9"/>
  <c r="AC56" i="9"/>
  <c r="AD56" i="9"/>
  <c r="AE56" i="9"/>
  <c r="AF56" i="9"/>
  <c r="AG56" i="9"/>
  <c r="AH56" i="9"/>
  <c r="AI56" i="9"/>
  <c r="AJ56" i="9"/>
  <c r="AK56" i="9"/>
  <c r="AL56" i="9"/>
  <c r="AM56" i="9"/>
  <c r="AN56" i="9"/>
  <c r="B57" i="9"/>
  <c r="C57" i="9"/>
  <c r="D57" i="9"/>
  <c r="E57" i="9"/>
  <c r="F57" i="9"/>
  <c r="G57" i="9"/>
  <c r="H57" i="9"/>
  <c r="I57" i="9"/>
  <c r="J57" i="9"/>
  <c r="K57" i="9"/>
  <c r="L57" i="9"/>
  <c r="M57" i="9"/>
  <c r="N57" i="9"/>
  <c r="O57" i="9"/>
  <c r="P57" i="9"/>
  <c r="Q57" i="9"/>
  <c r="R57" i="9"/>
  <c r="S57" i="9"/>
  <c r="T57" i="9"/>
  <c r="U57" i="9"/>
  <c r="V57" i="9"/>
  <c r="W57" i="9"/>
  <c r="X57" i="9"/>
  <c r="Y57" i="9"/>
  <c r="Z57" i="9"/>
  <c r="AA57" i="9"/>
  <c r="AB57" i="9"/>
  <c r="AC57" i="9"/>
  <c r="AD57" i="9"/>
  <c r="AE57" i="9"/>
  <c r="AF57" i="9"/>
  <c r="AG57" i="9"/>
  <c r="AH57" i="9"/>
  <c r="AI57" i="9"/>
  <c r="AJ57" i="9"/>
  <c r="AK57" i="9"/>
  <c r="AL57" i="9"/>
  <c r="AM57" i="9"/>
  <c r="AN57" i="9"/>
  <c r="B58" i="9"/>
  <c r="C58" i="9"/>
  <c r="D58" i="9"/>
  <c r="E58" i="9"/>
  <c r="F58" i="9"/>
  <c r="G58" i="9"/>
  <c r="H58" i="9"/>
  <c r="I58" i="9"/>
  <c r="J58" i="9"/>
  <c r="K58" i="9"/>
  <c r="L58" i="9"/>
  <c r="M58" i="9"/>
  <c r="N58" i="9"/>
  <c r="O58" i="9"/>
  <c r="P58" i="9"/>
  <c r="Q58" i="9"/>
  <c r="R58" i="9"/>
  <c r="S58" i="9"/>
  <c r="T58" i="9"/>
  <c r="U58" i="9"/>
  <c r="V58" i="9"/>
  <c r="W58" i="9"/>
  <c r="X58" i="9"/>
  <c r="Y58" i="9"/>
  <c r="Z58" i="9"/>
  <c r="AA58" i="9"/>
  <c r="AB58" i="9"/>
  <c r="AC58" i="9"/>
  <c r="AD58" i="9"/>
  <c r="AE58" i="9"/>
  <c r="AF58" i="9"/>
  <c r="AG58" i="9"/>
  <c r="AH58" i="9"/>
  <c r="AI58" i="9"/>
  <c r="AJ58" i="9"/>
  <c r="AK58" i="9"/>
  <c r="AL58" i="9"/>
  <c r="AM58" i="9"/>
  <c r="AN58" i="9"/>
  <c r="B59" i="9"/>
  <c r="C59" i="9"/>
  <c r="D59" i="9"/>
  <c r="E59" i="9"/>
  <c r="F59" i="9"/>
  <c r="G59" i="9"/>
  <c r="H59" i="9"/>
  <c r="I59" i="9"/>
  <c r="J59" i="9"/>
  <c r="K59" i="9"/>
  <c r="L59" i="9"/>
  <c r="M59" i="9"/>
  <c r="N59" i="9"/>
  <c r="O59" i="9"/>
  <c r="P59" i="9"/>
  <c r="Q59" i="9"/>
  <c r="R59" i="9"/>
  <c r="S59" i="9"/>
  <c r="T59" i="9"/>
  <c r="U59" i="9"/>
  <c r="V59" i="9"/>
  <c r="W59" i="9"/>
  <c r="X59" i="9"/>
  <c r="Y59" i="9"/>
  <c r="Z59" i="9"/>
  <c r="AA59" i="9"/>
  <c r="AB59" i="9"/>
  <c r="AC59" i="9"/>
  <c r="AD59" i="9"/>
  <c r="AE59" i="9"/>
  <c r="AF59" i="9"/>
  <c r="AG59" i="9"/>
  <c r="AH59" i="9"/>
  <c r="AI59" i="9"/>
  <c r="AJ59" i="9"/>
  <c r="AK59" i="9"/>
  <c r="AL59" i="9"/>
  <c r="AM59" i="9"/>
  <c r="AN59" i="9"/>
  <c r="B60" i="9"/>
  <c r="C60" i="9"/>
  <c r="D60" i="9"/>
  <c r="E60" i="9"/>
  <c r="F60" i="9"/>
  <c r="G60" i="9"/>
  <c r="H60" i="9"/>
  <c r="I60" i="9"/>
  <c r="J60" i="9"/>
  <c r="K60" i="9"/>
  <c r="L60" i="9"/>
  <c r="M60" i="9"/>
  <c r="N60" i="9"/>
  <c r="O60" i="9"/>
  <c r="P60" i="9"/>
  <c r="Q60" i="9"/>
  <c r="R60" i="9"/>
  <c r="S60" i="9"/>
  <c r="T60" i="9"/>
  <c r="U60" i="9"/>
  <c r="V60" i="9"/>
  <c r="W60" i="9"/>
  <c r="X60" i="9"/>
  <c r="Y60" i="9"/>
  <c r="Z60" i="9"/>
  <c r="AA60" i="9"/>
  <c r="AB60" i="9"/>
  <c r="AC60" i="9"/>
  <c r="AD60" i="9"/>
  <c r="AE60" i="9"/>
  <c r="AF60" i="9"/>
  <c r="AG60" i="9"/>
  <c r="AH60" i="9"/>
  <c r="AI60" i="9"/>
  <c r="AJ60" i="9"/>
  <c r="AK60" i="9"/>
  <c r="AL60" i="9"/>
  <c r="AM60" i="9"/>
  <c r="AN60" i="9"/>
  <c r="B61" i="9"/>
  <c r="C61" i="9"/>
  <c r="D61" i="9"/>
  <c r="E61" i="9"/>
  <c r="F61" i="9"/>
  <c r="G61" i="9"/>
  <c r="H61" i="9"/>
  <c r="I61" i="9"/>
  <c r="J61" i="9"/>
  <c r="K61" i="9"/>
  <c r="L61" i="9"/>
  <c r="M61" i="9"/>
  <c r="N61" i="9"/>
  <c r="O61" i="9"/>
  <c r="P61" i="9"/>
  <c r="Q61" i="9"/>
  <c r="R61" i="9"/>
  <c r="S61" i="9"/>
  <c r="T61" i="9"/>
  <c r="U61" i="9"/>
  <c r="V61" i="9"/>
  <c r="W61" i="9"/>
  <c r="X61" i="9"/>
  <c r="Y61" i="9"/>
  <c r="Z61" i="9"/>
  <c r="AA61" i="9"/>
  <c r="AB61" i="9"/>
  <c r="AC61" i="9"/>
  <c r="AD61" i="9"/>
  <c r="AE61" i="9"/>
  <c r="AF61" i="9"/>
  <c r="AG61" i="9"/>
  <c r="AH61" i="9"/>
  <c r="AI61" i="9"/>
  <c r="AJ61" i="9"/>
  <c r="AK61" i="9"/>
  <c r="AL61" i="9"/>
  <c r="AM61" i="9"/>
  <c r="AN61" i="9"/>
  <c r="B62" i="9"/>
  <c r="C62" i="9"/>
  <c r="D62" i="9"/>
  <c r="E62" i="9"/>
  <c r="F62" i="9"/>
  <c r="G62" i="9"/>
  <c r="H62" i="9"/>
  <c r="I62" i="9"/>
  <c r="J62" i="9"/>
  <c r="K62" i="9"/>
  <c r="L62" i="9"/>
  <c r="M62" i="9"/>
  <c r="N62" i="9"/>
  <c r="O62" i="9"/>
  <c r="P62" i="9"/>
  <c r="Q62" i="9"/>
  <c r="R62" i="9"/>
  <c r="S62" i="9"/>
  <c r="T62" i="9"/>
  <c r="U62" i="9"/>
  <c r="V62" i="9"/>
  <c r="W62" i="9"/>
  <c r="X62" i="9"/>
  <c r="Y62" i="9"/>
  <c r="Z62" i="9"/>
  <c r="AA62" i="9"/>
  <c r="AB62" i="9"/>
  <c r="AC62" i="9"/>
  <c r="AD62" i="9"/>
  <c r="AE62" i="9"/>
  <c r="AF62" i="9"/>
  <c r="AG62" i="9"/>
  <c r="AH62" i="9"/>
  <c r="AI62" i="9"/>
  <c r="AJ62" i="9"/>
  <c r="AK62" i="9"/>
  <c r="AL62" i="9"/>
  <c r="AM62" i="9"/>
  <c r="AN62" i="9"/>
  <c r="AO6" i="9"/>
  <c r="AO7" i="9"/>
  <c r="AO8" i="9"/>
  <c r="AO9" i="9"/>
  <c r="AO10" i="9"/>
  <c r="AO11" i="9"/>
  <c r="AO12" i="9"/>
  <c r="AO13" i="9"/>
  <c r="AO14" i="9"/>
  <c r="AO15" i="9"/>
  <c r="AO16" i="9"/>
  <c r="AO17" i="9"/>
  <c r="AO18" i="9"/>
  <c r="AO19" i="9"/>
  <c r="AO20" i="9"/>
  <c r="AO21" i="9"/>
  <c r="AO24" i="9"/>
  <c r="AO25" i="9"/>
  <c r="AO26" i="9"/>
  <c r="AO27" i="9"/>
  <c r="AO28" i="9"/>
  <c r="AO29" i="9"/>
  <c r="AO30" i="9"/>
  <c r="AO31" i="9"/>
  <c r="AO32" i="9"/>
  <c r="AO33" i="9"/>
  <c r="AO34" i="9"/>
  <c r="AO35" i="9"/>
  <c r="AO36" i="9"/>
  <c r="AO39" i="9"/>
  <c r="AO40" i="9"/>
  <c r="AO41" i="9"/>
  <c r="AO42" i="9"/>
  <c r="AO43" i="9"/>
  <c r="AO44" i="9"/>
  <c r="AO45" i="9"/>
  <c r="AO46" i="9"/>
  <c r="AO47" i="9"/>
  <c r="AO48" i="9"/>
  <c r="AO49" i="9"/>
  <c r="AO50" i="9"/>
  <c r="AO53" i="9"/>
  <c r="AO54" i="9"/>
  <c r="AO55" i="9"/>
  <c r="AO56" i="9"/>
  <c r="AO57" i="9"/>
  <c r="AO58" i="9"/>
  <c r="AO59" i="9"/>
  <c r="AO60" i="9"/>
  <c r="AO61" i="9"/>
  <c r="AO62" i="9"/>
  <c r="CN6" i="1" l="1"/>
  <c r="BV24" i="7"/>
  <c r="T39" i="5"/>
  <c r="T6" i="6"/>
  <c r="T24" i="6"/>
  <c r="T53" i="6"/>
  <c r="BV6" i="7"/>
  <c r="BV39" i="7"/>
  <c r="Y6" i="8"/>
  <c r="AR24" i="4"/>
  <c r="AR53" i="4"/>
  <c r="AR39" i="4"/>
  <c r="AR6" i="4"/>
  <c r="Y6" i="7"/>
  <c r="AV39" i="6"/>
  <c r="AQ4" i="4"/>
  <c r="AP4" i="9"/>
  <c r="T39" i="6"/>
  <c r="CN39" i="1"/>
  <c r="T6" i="5"/>
  <c r="Y39" i="7"/>
  <c r="Y24" i="7"/>
  <c r="AV24" i="6"/>
  <c r="AP37" i="9"/>
  <c r="AP22" i="9"/>
  <c r="AP51" i="9"/>
  <c r="T24" i="5"/>
  <c r="AV53" i="6"/>
  <c r="AV6" i="6"/>
  <c r="Y53" i="7"/>
  <c r="Y24" i="8"/>
  <c r="Y53" i="8"/>
  <c r="CN24" i="1"/>
  <c r="CN53" i="1"/>
  <c r="AP6" i="1"/>
  <c r="AP39" i="1"/>
  <c r="AP53" i="1"/>
  <c r="T53" i="5"/>
  <c r="AU52" i="6"/>
  <c r="AT52" i="6"/>
  <c r="AS52" i="6"/>
  <c r="AR52" i="6"/>
  <c r="AQ52" i="6"/>
  <c r="AP52" i="6"/>
  <c r="AO52" i="6"/>
  <c r="AN52" i="6"/>
  <c r="AM52" i="6"/>
  <c r="AL52" i="6"/>
  <c r="AK52" i="6"/>
  <c r="AJ52" i="6"/>
  <c r="AI52" i="6"/>
  <c r="AH52" i="6"/>
  <c r="AG52" i="6"/>
  <c r="AF52" i="6"/>
  <c r="AE52" i="6"/>
  <c r="AD52" i="6"/>
  <c r="S52" i="6"/>
  <c r="R52" i="6"/>
  <c r="Q52" i="6"/>
  <c r="P52" i="6"/>
  <c r="O52" i="6"/>
  <c r="N52" i="6"/>
  <c r="M52" i="6"/>
  <c r="L52" i="6"/>
  <c r="K52" i="6"/>
  <c r="J52" i="6"/>
  <c r="I52" i="6"/>
  <c r="H52" i="6"/>
  <c r="G52" i="6"/>
  <c r="F52" i="6"/>
  <c r="E52" i="6"/>
  <c r="D52" i="6"/>
  <c r="C52" i="6"/>
  <c r="B52" i="6"/>
  <c r="AU38" i="6"/>
  <c r="AT38" i="6"/>
  <c r="AS38" i="6"/>
  <c r="AR38" i="6"/>
  <c r="AQ38" i="6"/>
  <c r="AP38" i="6"/>
  <c r="AO38" i="6"/>
  <c r="AN38" i="6"/>
  <c r="AM38" i="6"/>
  <c r="AL38" i="6"/>
  <c r="AK38" i="6"/>
  <c r="AJ38" i="6"/>
  <c r="AI38" i="6"/>
  <c r="AH38" i="6"/>
  <c r="AG38" i="6"/>
  <c r="AF38" i="6"/>
  <c r="AE38" i="6"/>
  <c r="AD38" i="6"/>
  <c r="S38" i="6"/>
  <c r="R38" i="6"/>
  <c r="Q38" i="6"/>
  <c r="P38" i="6"/>
  <c r="O38" i="6"/>
  <c r="N38" i="6"/>
  <c r="M38" i="6"/>
  <c r="L38" i="6"/>
  <c r="K38" i="6"/>
  <c r="J38" i="6"/>
  <c r="I38" i="6"/>
  <c r="H38" i="6"/>
  <c r="G38" i="6"/>
  <c r="F38" i="6"/>
  <c r="E38" i="6"/>
  <c r="D38" i="6"/>
  <c r="C38" i="6"/>
  <c r="B38" i="6"/>
  <c r="AU23" i="6"/>
  <c r="AT23" i="6"/>
  <c r="AS23" i="6"/>
  <c r="AR23" i="6"/>
  <c r="AQ23" i="6"/>
  <c r="AP23" i="6"/>
  <c r="AO23" i="6"/>
  <c r="AN23" i="6"/>
  <c r="AM23" i="6"/>
  <c r="AL23" i="6"/>
  <c r="AK23" i="6"/>
  <c r="AJ23" i="6"/>
  <c r="AI23" i="6"/>
  <c r="AH23" i="6"/>
  <c r="AG23" i="6"/>
  <c r="AF23" i="6"/>
  <c r="AE23" i="6"/>
  <c r="AD23" i="6"/>
  <c r="S23" i="6"/>
  <c r="R23" i="6"/>
  <c r="Q23" i="6"/>
  <c r="P23" i="6"/>
  <c r="O23" i="6"/>
  <c r="N23" i="6"/>
  <c r="M23" i="6"/>
  <c r="L23" i="6"/>
  <c r="K23" i="6"/>
  <c r="J23" i="6"/>
  <c r="I23" i="6"/>
  <c r="H23" i="6"/>
  <c r="G23" i="6"/>
  <c r="F23" i="6"/>
  <c r="E23" i="6"/>
  <c r="D23" i="6"/>
  <c r="C23" i="6"/>
  <c r="B23" i="6"/>
  <c r="AU5" i="6"/>
  <c r="AT5" i="6"/>
  <c r="AS5" i="6"/>
  <c r="AR5" i="6"/>
  <c r="AQ5" i="6"/>
  <c r="AP5" i="6"/>
  <c r="AO5" i="6"/>
  <c r="AN5" i="6"/>
  <c r="AM5" i="6"/>
  <c r="AL5" i="6"/>
  <c r="AK5" i="6"/>
  <c r="AJ5" i="6"/>
  <c r="AI5" i="6"/>
  <c r="AH5" i="6"/>
  <c r="AG5" i="6"/>
  <c r="AD5" i="6"/>
  <c r="S5" i="6"/>
  <c r="R5" i="6"/>
  <c r="Q5" i="6"/>
  <c r="P5" i="6"/>
  <c r="O5" i="6"/>
  <c r="N5" i="6"/>
  <c r="M5" i="6"/>
  <c r="L5" i="6"/>
  <c r="K5" i="6"/>
  <c r="J5" i="6"/>
  <c r="I5" i="6"/>
  <c r="H5" i="6"/>
  <c r="G5" i="6"/>
  <c r="F5" i="6"/>
  <c r="E5" i="6"/>
  <c r="B5" i="6"/>
  <c r="BU52" i="7"/>
  <c r="BT52" i="7"/>
  <c r="BS52" i="7"/>
  <c r="BR52" i="7"/>
  <c r="BQ52" i="7"/>
  <c r="BP52" i="7"/>
  <c r="BO52" i="7"/>
  <c r="BE52" i="7"/>
  <c r="BD52" i="7"/>
  <c r="BC52" i="7"/>
  <c r="BB52" i="7"/>
  <c r="BA52" i="7"/>
  <c r="AZ52" i="7"/>
  <c r="AY52" i="7"/>
  <c r="AX52" i="7"/>
  <c r="AW52" i="7"/>
  <c r="AW53" i="7" s="1"/>
  <c r="AV52" i="7"/>
  <c r="AV53" i="7" s="1"/>
  <c r="AU52" i="7"/>
  <c r="AT52" i="7"/>
  <c r="AS52" i="7"/>
  <c r="AR52" i="7"/>
  <c r="AQ52" i="7"/>
  <c r="AP52" i="7"/>
  <c r="AO52" i="7"/>
  <c r="AN52" i="7"/>
  <c r="AM52" i="7"/>
  <c r="AL52" i="7"/>
  <c r="AL53" i="7" s="1"/>
  <c r="AK52" i="7"/>
  <c r="AK53" i="7" s="1"/>
  <c r="X52" i="7"/>
  <c r="W52" i="7"/>
  <c r="V52" i="7"/>
  <c r="U52" i="7"/>
  <c r="T52" i="7"/>
  <c r="S52" i="7"/>
  <c r="R52" i="7"/>
  <c r="Q52" i="7"/>
  <c r="P52" i="7"/>
  <c r="O52" i="7"/>
  <c r="N52" i="7"/>
  <c r="M52" i="7"/>
  <c r="L52" i="7"/>
  <c r="K52" i="7"/>
  <c r="J52" i="7"/>
  <c r="I52" i="7"/>
  <c r="H52" i="7"/>
  <c r="G52" i="7"/>
  <c r="F52" i="7"/>
  <c r="E52" i="7"/>
  <c r="E53" i="7" s="1"/>
  <c r="D52" i="7"/>
  <c r="D53" i="7" s="1"/>
  <c r="C52" i="7"/>
  <c r="C53" i="7" s="1"/>
  <c r="B52" i="7"/>
  <c r="B53" i="7" s="1"/>
  <c r="BU38" i="7"/>
  <c r="BT38" i="7"/>
  <c r="BS38" i="7"/>
  <c r="BR38" i="7"/>
  <c r="BQ38" i="7"/>
  <c r="BP38" i="7"/>
  <c r="BO38" i="7"/>
  <c r="BE38" i="7"/>
  <c r="BD38" i="7"/>
  <c r="BC38" i="7"/>
  <c r="BB38" i="7"/>
  <c r="BA38" i="7"/>
  <c r="AZ38" i="7"/>
  <c r="AY38" i="7"/>
  <c r="AX38" i="7"/>
  <c r="AW38" i="7"/>
  <c r="AW39" i="7" s="1"/>
  <c r="AV38" i="7"/>
  <c r="AV39" i="7" s="1"/>
  <c r="AU38" i="7"/>
  <c r="AT38" i="7"/>
  <c r="AS38" i="7"/>
  <c r="AR38" i="7"/>
  <c r="AQ38" i="7"/>
  <c r="AP38" i="7"/>
  <c r="AO38" i="7"/>
  <c r="AN38" i="7"/>
  <c r="AM38" i="7"/>
  <c r="AL38" i="7"/>
  <c r="AL39" i="7" s="1"/>
  <c r="AK38" i="7"/>
  <c r="AK39" i="7" s="1"/>
  <c r="X38" i="7"/>
  <c r="W38" i="7"/>
  <c r="V38" i="7"/>
  <c r="U38" i="7"/>
  <c r="T38" i="7"/>
  <c r="S38" i="7"/>
  <c r="R38" i="7"/>
  <c r="Q38" i="7"/>
  <c r="P38" i="7"/>
  <c r="O38" i="7"/>
  <c r="N38" i="7"/>
  <c r="M38" i="7"/>
  <c r="L38" i="7"/>
  <c r="K38" i="7"/>
  <c r="J38" i="7"/>
  <c r="I38" i="7"/>
  <c r="H38" i="7"/>
  <c r="G38" i="7"/>
  <c r="F38" i="7"/>
  <c r="E38" i="7"/>
  <c r="E39" i="7" s="1"/>
  <c r="D38" i="7"/>
  <c r="D39" i="7" s="1"/>
  <c r="C38" i="7"/>
  <c r="C39" i="7" s="1"/>
  <c r="B38" i="7"/>
  <c r="B39" i="7" s="1"/>
  <c r="BU23" i="7"/>
  <c r="BT23" i="7"/>
  <c r="BS23" i="7"/>
  <c r="BR23" i="7"/>
  <c r="BQ23" i="7"/>
  <c r="BP23" i="7"/>
  <c r="BO23" i="7"/>
  <c r="BE23" i="7"/>
  <c r="BD23" i="7"/>
  <c r="BC23" i="7"/>
  <c r="BB23" i="7"/>
  <c r="BA23" i="7"/>
  <c r="AZ23" i="7"/>
  <c r="AY23" i="7"/>
  <c r="AX23" i="7"/>
  <c r="AW23" i="7"/>
  <c r="AW24" i="7" s="1"/>
  <c r="AV23" i="7"/>
  <c r="AV24" i="7" s="1"/>
  <c r="AU23" i="7"/>
  <c r="AT23" i="7"/>
  <c r="AS23" i="7"/>
  <c r="AR23" i="7"/>
  <c r="AQ23" i="7"/>
  <c r="AP23" i="7"/>
  <c r="AO23" i="7"/>
  <c r="AN23" i="7"/>
  <c r="AM23" i="7"/>
  <c r="AL23" i="7"/>
  <c r="AL24" i="7" s="1"/>
  <c r="AK23" i="7"/>
  <c r="AK24" i="7" s="1"/>
  <c r="X23" i="7"/>
  <c r="W23" i="7"/>
  <c r="V23" i="7"/>
  <c r="U23" i="7"/>
  <c r="T23" i="7"/>
  <c r="S23" i="7"/>
  <c r="R23" i="7"/>
  <c r="Q23" i="7"/>
  <c r="P23" i="7"/>
  <c r="O23" i="7"/>
  <c r="N23" i="7"/>
  <c r="M23" i="7"/>
  <c r="L23" i="7"/>
  <c r="K23" i="7"/>
  <c r="J23" i="7"/>
  <c r="I23" i="7"/>
  <c r="H23" i="7"/>
  <c r="G23" i="7"/>
  <c r="F23" i="7"/>
  <c r="E23" i="7"/>
  <c r="E24" i="7" s="1"/>
  <c r="D23" i="7"/>
  <c r="D24" i="7" s="1"/>
  <c r="C23" i="7"/>
  <c r="C24" i="7" s="1"/>
  <c r="B23" i="7"/>
  <c r="B24" i="7" s="1"/>
  <c r="BU5" i="7"/>
  <c r="BT5" i="7"/>
  <c r="BS5" i="7"/>
  <c r="BR5" i="7"/>
  <c r="BQ5" i="7"/>
  <c r="BP5" i="7"/>
  <c r="BO5" i="7"/>
  <c r="BE5" i="7"/>
  <c r="BD5" i="7"/>
  <c r="BC5" i="7"/>
  <c r="BB5" i="7"/>
  <c r="BA5" i="7"/>
  <c r="AZ5" i="7"/>
  <c r="AY5" i="7"/>
  <c r="AX5" i="7"/>
  <c r="AW5" i="7"/>
  <c r="AW6" i="7" s="1"/>
  <c r="AV5" i="7"/>
  <c r="AV6" i="7" s="1"/>
  <c r="AU5" i="7"/>
  <c r="AT5" i="7"/>
  <c r="AS5" i="7"/>
  <c r="AR5" i="7"/>
  <c r="AQ5" i="7"/>
  <c r="AP5" i="7"/>
  <c r="AO5" i="7"/>
  <c r="AN5" i="7"/>
  <c r="AM5" i="7"/>
  <c r="AL5" i="7"/>
  <c r="AL6" i="7" s="1"/>
  <c r="AK5" i="7"/>
  <c r="AK6" i="7" s="1"/>
  <c r="X5" i="7"/>
  <c r="W5" i="7"/>
  <c r="V5" i="7"/>
  <c r="U5" i="7"/>
  <c r="T5" i="7"/>
  <c r="S5" i="7"/>
  <c r="R5" i="7"/>
  <c r="Q5" i="7"/>
  <c r="P5" i="7"/>
  <c r="O5" i="7"/>
  <c r="N5" i="7"/>
  <c r="M5" i="7"/>
  <c r="L5" i="7"/>
  <c r="K5" i="7"/>
  <c r="J5" i="7"/>
  <c r="G5" i="7"/>
  <c r="E5" i="7"/>
  <c r="E6" i="7" s="1"/>
  <c r="D5" i="7"/>
  <c r="D6" i="7" s="1"/>
  <c r="C5" i="7"/>
  <c r="C6" i="7" s="1"/>
  <c r="B5" i="7"/>
  <c r="B6" i="7" s="1"/>
  <c r="X52" i="8"/>
  <c r="W52" i="8"/>
  <c r="V52" i="8"/>
  <c r="U52" i="8"/>
  <c r="T52" i="8"/>
  <c r="S52" i="8"/>
  <c r="R52" i="8"/>
  <c r="Q52" i="8"/>
  <c r="P52" i="8"/>
  <c r="O52" i="8"/>
  <c r="N52" i="8"/>
  <c r="M52" i="8"/>
  <c r="L52" i="8"/>
  <c r="K52" i="8"/>
  <c r="J52" i="8"/>
  <c r="I52" i="8"/>
  <c r="H52" i="8"/>
  <c r="G52" i="8"/>
  <c r="F52" i="8"/>
  <c r="E52" i="8"/>
  <c r="E53" i="8" s="1"/>
  <c r="D52" i="8"/>
  <c r="D53" i="8" s="1"/>
  <c r="C52" i="8"/>
  <c r="C53" i="8" s="1"/>
  <c r="B52" i="8"/>
  <c r="B53" i="8" s="1"/>
  <c r="X38" i="8"/>
  <c r="W38" i="8"/>
  <c r="V38" i="8"/>
  <c r="U38" i="8"/>
  <c r="T38" i="8"/>
  <c r="S38" i="8"/>
  <c r="R38" i="8"/>
  <c r="Q38" i="8"/>
  <c r="P38" i="8"/>
  <c r="O38" i="8"/>
  <c r="N38" i="8"/>
  <c r="M38" i="8"/>
  <c r="L38" i="8"/>
  <c r="K38" i="8"/>
  <c r="J38" i="8"/>
  <c r="I38" i="8"/>
  <c r="H38" i="8"/>
  <c r="G38" i="8"/>
  <c r="F38" i="8"/>
  <c r="E38" i="8"/>
  <c r="E39" i="8" s="1"/>
  <c r="D38" i="8"/>
  <c r="D39" i="8" s="1"/>
  <c r="C38" i="8"/>
  <c r="C39" i="8" s="1"/>
  <c r="B38" i="8"/>
  <c r="B39" i="8" s="1"/>
  <c r="X23" i="8"/>
  <c r="W23" i="8"/>
  <c r="V23" i="8"/>
  <c r="U23" i="8"/>
  <c r="T23" i="8"/>
  <c r="S23" i="8"/>
  <c r="R23" i="8"/>
  <c r="Q23" i="8"/>
  <c r="P23" i="8"/>
  <c r="O23" i="8"/>
  <c r="N23" i="8"/>
  <c r="M23" i="8"/>
  <c r="L23" i="8"/>
  <c r="K23" i="8"/>
  <c r="J23" i="8"/>
  <c r="I23" i="8"/>
  <c r="H23" i="8"/>
  <c r="G23" i="8"/>
  <c r="F23" i="8"/>
  <c r="E23" i="8"/>
  <c r="E24" i="8" s="1"/>
  <c r="D23" i="8"/>
  <c r="D24" i="8" s="1"/>
  <c r="C23" i="8"/>
  <c r="C24" i="8" s="1"/>
  <c r="B23" i="8"/>
  <c r="B24" i="8" s="1"/>
  <c r="X5" i="8"/>
  <c r="W5" i="8"/>
  <c r="V5" i="8"/>
  <c r="U5" i="8"/>
  <c r="T5" i="8"/>
  <c r="S5" i="8"/>
  <c r="R5" i="8"/>
  <c r="Q5" i="8"/>
  <c r="P5" i="8"/>
  <c r="O5" i="8"/>
  <c r="N5" i="8"/>
  <c r="M5" i="8"/>
  <c r="L5" i="8"/>
  <c r="K5" i="8"/>
  <c r="J5" i="8"/>
  <c r="G5" i="8"/>
  <c r="E5" i="8"/>
  <c r="E6" i="8" s="1"/>
  <c r="D5" i="8"/>
  <c r="D6" i="8" s="1"/>
  <c r="C5" i="8"/>
  <c r="C6" i="8" s="1"/>
  <c r="B5" i="8"/>
  <c r="B6" i="8" s="1"/>
  <c r="AL4" i="6" l="1"/>
  <c r="AK4" i="6"/>
  <c r="AS4" i="6"/>
  <c r="L4" i="6"/>
  <c r="AD4" i="6"/>
  <c r="AT4" i="6"/>
  <c r="G4" i="6"/>
  <c r="AI4" i="6"/>
  <c r="H4" i="6"/>
  <c r="AJ4" i="6"/>
  <c r="AR4" i="6"/>
  <c r="P4" i="6"/>
  <c r="AQ24" i="4"/>
  <c r="R4" i="7"/>
  <c r="R6" i="7" s="1"/>
  <c r="BR4" i="7"/>
  <c r="AO4" i="7"/>
  <c r="AO6" i="7" s="1"/>
  <c r="E4" i="6"/>
  <c r="M4" i="6"/>
  <c r="AG4" i="6"/>
  <c r="AO4" i="6"/>
  <c r="AP3" i="9"/>
  <c r="G4" i="8"/>
  <c r="G53" i="8" s="1"/>
  <c r="P4" i="7"/>
  <c r="P6" i="7" s="1"/>
  <c r="BO4" i="7"/>
  <c r="BO24" i="7" s="1"/>
  <c r="F4" i="6"/>
  <c r="N4" i="6"/>
  <c r="AH4" i="6"/>
  <c r="AP4" i="6"/>
  <c r="AQ6" i="4"/>
  <c r="AS4" i="7"/>
  <c r="AS6" i="7" s="1"/>
  <c r="Q4" i="6"/>
  <c r="AQ39" i="4"/>
  <c r="L4" i="7"/>
  <c r="L53" i="7" s="1"/>
  <c r="T4" i="7"/>
  <c r="T6" i="7" s="1"/>
  <c r="J4" i="6"/>
  <c r="R4" i="6"/>
  <c r="AQ53" i="4"/>
  <c r="AQ4" i="6"/>
  <c r="BA4" i="7"/>
  <c r="BA53" i="7" s="1"/>
  <c r="I4" i="6"/>
  <c r="BT4" i="7"/>
  <c r="K4" i="6"/>
  <c r="AM4" i="6"/>
  <c r="O4" i="6"/>
  <c r="J4" i="7"/>
  <c r="J39" i="7" s="1"/>
  <c r="N4" i="7"/>
  <c r="N6" i="7" s="1"/>
  <c r="V4" i="7"/>
  <c r="AN4" i="7"/>
  <c r="AN39" i="7" s="1"/>
  <c r="B4" i="6"/>
  <c r="AN4" i="6"/>
  <c r="X4" i="7"/>
  <c r="X53" i="7" s="1"/>
  <c r="S4" i="6"/>
  <c r="S6" i="6" s="1"/>
  <c r="AU4" i="6"/>
  <c r="AU6" i="6" s="1"/>
  <c r="AQ4" i="7"/>
  <c r="AQ6" i="7" s="1"/>
  <c r="AU4" i="7"/>
  <c r="AU6" i="7" s="1"/>
  <c r="AY4" i="7"/>
  <c r="AY6" i="7" s="1"/>
  <c r="BC4" i="7"/>
  <c r="BC6" i="7" s="1"/>
  <c r="BE4" i="7"/>
  <c r="BE6" i="7" s="1"/>
  <c r="BQ4" i="7"/>
  <c r="BQ53" i="7" s="1"/>
  <c r="G4" i="7"/>
  <c r="G53" i="7" s="1"/>
  <c r="K4" i="7"/>
  <c r="K6" i="7" s="1"/>
  <c r="M4" i="7"/>
  <c r="M53" i="7" s="1"/>
  <c r="O4" i="7"/>
  <c r="O53" i="7" s="1"/>
  <c r="Q4" i="7"/>
  <c r="Q53" i="7" s="1"/>
  <c r="S4" i="7"/>
  <c r="S39" i="7" s="1"/>
  <c r="U4" i="7"/>
  <c r="W4" i="7"/>
  <c r="AM4" i="7"/>
  <c r="AM53" i="7" s="1"/>
  <c r="AP4" i="7"/>
  <c r="AP6" i="7" s="1"/>
  <c r="AR4" i="7"/>
  <c r="AR6" i="7" s="1"/>
  <c r="AT4" i="7"/>
  <c r="AT6" i="7" s="1"/>
  <c r="AX4" i="7"/>
  <c r="AX6" i="7" s="1"/>
  <c r="AZ4" i="7"/>
  <c r="AZ6" i="7" s="1"/>
  <c r="BB4" i="7"/>
  <c r="BB6" i="7" s="1"/>
  <c r="BD4" i="7"/>
  <c r="BD6" i="7" s="1"/>
  <c r="BP4" i="7"/>
  <c r="BP39" i="7" s="1"/>
  <c r="BS4" i="7"/>
  <c r="BU4" i="7"/>
  <c r="BU39" i="7" s="1"/>
  <c r="T53" i="7"/>
  <c r="K4" i="8"/>
  <c r="K6" i="8" s="1"/>
  <c r="M4" i="8"/>
  <c r="M6" i="8" s="1"/>
  <c r="O4" i="8"/>
  <c r="O6" i="8" s="1"/>
  <c r="Q4" i="8"/>
  <c r="Q6" i="8" s="1"/>
  <c r="S4" i="8"/>
  <c r="S6" i="8" s="1"/>
  <c r="U4" i="8"/>
  <c r="U6" i="8" s="1"/>
  <c r="W4" i="8"/>
  <c r="W6" i="8" s="1"/>
  <c r="J4" i="8"/>
  <c r="J6" i="8" s="1"/>
  <c r="L4" i="8"/>
  <c r="L6" i="8" s="1"/>
  <c r="N4" i="8"/>
  <c r="N6" i="8" s="1"/>
  <c r="P4" i="8"/>
  <c r="P6" i="8" s="1"/>
  <c r="R4" i="8"/>
  <c r="R6" i="8" s="1"/>
  <c r="T4" i="8"/>
  <c r="T6" i="8" s="1"/>
  <c r="V4" i="8"/>
  <c r="V6" i="8" s="1"/>
  <c r="X4" i="8"/>
  <c r="X6" i="8" s="1"/>
  <c r="N53" i="8"/>
  <c r="J39" i="8"/>
  <c r="N39" i="8"/>
  <c r="T24" i="8"/>
  <c r="O39" i="8"/>
  <c r="S39" i="8"/>
  <c r="S24" i="8"/>
  <c r="B52" i="1"/>
  <c r="C52" i="1"/>
  <c r="D52" i="1"/>
  <c r="E52" i="1"/>
  <c r="F52" i="1"/>
  <c r="G52" i="1"/>
  <c r="H52" i="1"/>
  <c r="I52" i="1"/>
  <c r="J52" i="1"/>
  <c r="K52" i="1"/>
  <c r="L52" i="1"/>
  <c r="M52" i="1"/>
  <c r="N52" i="1"/>
  <c r="O52" i="1"/>
  <c r="P52" i="1"/>
  <c r="Q52" i="1"/>
  <c r="R52" i="1"/>
  <c r="S52" i="1"/>
  <c r="T52" i="1"/>
  <c r="U52" i="1"/>
  <c r="V52" i="1"/>
  <c r="W52" i="1"/>
  <c r="X52" i="1"/>
  <c r="Y52" i="1"/>
  <c r="Z52" i="1"/>
  <c r="AA52" i="1"/>
  <c r="AB52" i="1"/>
  <c r="AC52" i="1"/>
  <c r="AD52" i="1"/>
  <c r="AE52" i="1"/>
  <c r="AF52" i="1"/>
  <c r="AG52" i="1"/>
  <c r="AH52" i="1"/>
  <c r="AI52" i="1"/>
  <c r="AJ52" i="1"/>
  <c r="AK52" i="1"/>
  <c r="AL52" i="1"/>
  <c r="AM52" i="1"/>
  <c r="AN52" i="1"/>
  <c r="AO52" i="1"/>
  <c r="AZ52" i="1"/>
  <c r="BA52" i="1"/>
  <c r="BB52" i="1"/>
  <c r="BC52" i="1"/>
  <c r="BD52" i="1"/>
  <c r="BE52" i="1"/>
  <c r="BF52" i="1"/>
  <c r="BG52" i="1"/>
  <c r="BH52" i="1"/>
  <c r="BI52" i="1"/>
  <c r="BJ52" i="1"/>
  <c r="BK52" i="1"/>
  <c r="BL52" i="1"/>
  <c r="BM52" i="1"/>
  <c r="BN52" i="1"/>
  <c r="BO52" i="1"/>
  <c r="BP52" i="1"/>
  <c r="BQ52" i="1"/>
  <c r="BR52" i="1"/>
  <c r="BS52" i="1"/>
  <c r="BT52" i="1"/>
  <c r="BU52" i="1"/>
  <c r="BV52" i="1"/>
  <c r="BW52" i="1"/>
  <c r="BX52" i="1"/>
  <c r="BY52" i="1"/>
  <c r="BZ52" i="1"/>
  <c r="CA52" i="1"/>
  <c r="CB52" i="1"/>
  <c r="CC52" i="1"/>
  <c r="CD52" i="1"/>
  <c r="CE52" i="1"/>
  <c r="CF52" i="1"/>
  <c r="CG52" i="1"/>
  <c r="CH52" i="1"/>
  <c r="CI52" i="1"/>
  <c r="CJ52" i="1"/>
  <c r="CK52" i="1"/>
  <c r="CL52" i="1"/>
  <c r="CM52" i="1"/>
  <c r="B38" i="1"/>
  <c r="C38" i="1"/>
  <c r="D38" i="1"/>
  <c r="E38" i="1"/>
  <c r="F38" i="1"/>
  <c r="G38" i="1"/>
  <c r="H38" i="1"/>
  <c r="I38" i="1"/>
  <c r="J38" i="1"/>
  <c r="K38" i="1"/>
  <c r="L38" i="1"/>
  <c r="M38" i="1"/>
  <c r="N38" i="1"/>
  <c r="O38" i="1"/>
  <c r="P38" i="1"/>
  <c r="Q38" i="1"/>
  <c r="R38" i="1"/>
  <c r="S38" i="1"/>
  <c r="T38" i="1"/>
  <c r="U38" i="1"/>
  <c r="V38" i="1"/>
  <c r="W38" i="1"/>
  <c r="X38" i="1"/>
  <c r="Y38" i="1"/>
  <c r="Z38" i="1"/>
  <c r="AA38" i="1"/>
  <c r="AB38" i="1"/>
  <c r="AC38" i="1"/>
  <c r="AD38" i="1"/>
  <c r="AE38" i="1"/>
  <c r="AF38" i="1"/>
  <c r="AG38" i="1"/>
  <c r="AH38" i="1"/>
  <c r="AI38" i="1"/>
  <c r="AJ38" i="1"/>
  <c r="AK38" i="1"/>
  <c r="AL38" i="1"/>
  <c r="AM38" i="1"/>
  <c r="AN38" i="1"/>
  <c r="AO38" i="1"/>
  <c r="AZ38" i="1"/>
  <c r="BA38" i="1"/>
  <c r="BB38" i="1"/>
  <c r="BC38" i="1"/>
  <c r="BD38" i="1"/>
  <c r="BE38" i="1"/>
  <c r="BF38" i="1"/>
  <c r="BG38" i="1"/>
  <c r="BH38" i="1"/>
  <c r="BI38" i="1"/>
  <c r="BJ38" i="1"/>
  <c r="BK38" i="1"/>
  <c r="BL38" i="1"/>
  <c r="BM38" i="1"/>
  <c r="BN38" i="1"/>
  <c r="BO38" i="1"/>
  <c r="BP38" i="1"/>
  <c r="BQ38" i="1"/>
  <c r="BR38" i="1"/>
  <c r="BS38" i="1"/>
  <c r="BT38" i="1"/>
  <c r="BU38" i="1"/>
  <c r="BV38" i="1"/>
  <c r="BW38" i="1"/>
  <c r="BX38" i="1"/>
  <c r="BY38" i="1"/>
  <c r="BZ38" i="1"/>
  <c r="CA38" i="1"/>
  <c r="CB38" i="1"/>
  <c r="CC38" i="1"/>
  <c r="CD38" i="1"/>
  <c r="CE38" i="1"/>
  <c r="CF38" i="1"/>
  <c r="CG38" i="1"/>
  <c r="CH38" i="1"/>
  <c r="CI38" i="1"/>
  <c r="CJ38" i="1"/>
  <c r="CK38" i="1"/>
  <c r="CL38" i="1"/>
  <c r="CM38" i="1"/>
  <c r="B23" i="1"/>
  <c r="C23" i="1"/>
  <c r="D23" i="1"/>
  <c r="E23" i="1"/>
  <c r="F23" i="1"/>
  <c r="G23" i="1"/>
  <c r="H23" i="1"/>
  <c r="I23" i="1"/>
  <c r="J23" i="1"/>
  <c r="K23" i="1"/>
  <c r="L23" i="1"/>
  <c r="M23" i="1"/>
  <c r="N23" i="1"/>
  <c r="O23" i="1"/>
  <c r="P23" i="1"/>
  <c r="Q23" i="1"/>
  <c r="R23" i="1"/>
  <c r="S23" i="1"/>
  <c r="T23" i="1"/>
  <c r="U23" i="1"/>
  <c r="V23" i="1"/>
  <c r="W23" i="1"/>
  <c r="X23" i="1"/>
  <c r="Y23" i="1"/>
  <c r="Z23" i="1"/>
  <c r="AA23" i="1"/>
  <c r="AB23" i="1"/>
  <c r="AC23" i="1"/>
  <c r="AD23" i="1"/>
  <c r="AE23" i="1"/>
  <c r="AF23" i="1"/>
  <c r="AG23" i="1"/>
  <c r="AH23" i="1"/>
  <c r="AI23" i="1"/>
  <c r="AJ23" i="1"/>
  <c r="AK23" i="1"/>
  <c r="AL23" i="1"/>
  <c r="AM23" i="1"/>
  <c r="AN23" i="1"/>
  <c r="AO23" i="1"/>
  <c r="AZ23" i="1"/>
  <c r="BA23" i="1"/>
  <c r="BB23" i="1"/>
  <c r="BC23" i="1"/>
  <c r="BD23" i="1"/>
  <c r="BE23" i="1"/>
  <c r="BF23" i="1"/>
  <c r="BG23" i="1"/>
  <c r="BH23" i="1"/>
  <c r="BI23" i="1"/>
  <c r="BJ23" i="1"/>
  <c r="BK23" i="1"/>
  <c r="BL23" i="1"/>
  <c r="BM23" i="1"/>
  <c r="BN23" i="1"/>
  <c r="BO23" i="1"/>
  <c r="BP23" i="1"/>
  <c r="BQ23" i="1"/>
  <c r="BR23" i="1"/>
  <c r="BS23" i="1"/>
  <c r="BT23" i="1"/>
  <c r="BU23" i="1"/>
  <c r="BV23" i="1"/>
  <c r="BW23" i="1"/>
  <c r="BX23" i="1"/>
  <c r="BY23" i="1"/>
  <c r="BZ23" i="1"/>
  <c r="CA23" i="1"/>
  <c r="CB23" i="1"/>
  <c r="CC23" i="1"/>
  <c r="CD23" i="1"/>
  <c r="CE23" i="1"/>
  <c r="CF23" i="1"/>
  <c r="CG23" i="1"/>
  <c r="CH23" i="1"/>
  <c r="CI23" i="1"/>
  <c r="CJ23" i="1"/>
  <c r="CK23" i="1"/>
  <c r="CL23" i="1"/>
  <c r="CM23" i="1"/>
  <c r="B5" i="1"/>
  <c r="B4" i="1" s="1"/>
  <c r="B6" i="1" s="1"/>
  <c r="C5" i="1"/>
  <c r="D5" i="1"/>
  <c r="D4" i="1" s="1"/>
  <c r="D6" i="1" s="1"/>
  <c r="E5" i="1"/>
  <c r="E4" i="1" s="1"/>
  <c r="E6" i="1" s="1"/>
  <c r="F5" i="1"/>
  <c r="F4" i="1" s="1"/>
  <c r="F6" i="1" s="1"/>
  <c r="G5" i="1"/>
  <c r="G4" i="1" s="1"/>
  <c r="G6" i="1" s="1"/>
  <c r="H5" i="1"/>
  <c r="H4" i="1" s="1"/>
  <c r="H6" i="1" s="1"/>
  <c r="I5" i="1"/>
  <c r="I4" i="1" s="1"/>
  <c r="I6" i="1" s="1"/>
  <c r="J5" i="1"/>
  <c r="J4" i="1" s="1"/>
  <c r="J6" i="1" s="1"/>
  <c r="K5" i="1"/>
  <c r="K4" i="1" s="1"/>
  <c r="K6" i="1" s="1"/>
  <c r="L5" i="1"/>
  <c r="L4" i="1" s="1"/>
  <c r="L6" i="1" s="1"/>
  <c r="M5" i="1"/>
  <c r="M4" i="1" s="1"/>
  <c r="M6" i="1" s="1"/>
  <c r="N5" i="1"/>
  <c r="N4" i="1" s="1"/>
  <c r="N6" i="1" s="1"/>
  <c r="O5" i="1"/>
  <c r="O4" i="1" s="1"/>
  <c r="O6" i="1" s="1"/>
  <c r="P5" i="1"/>
  <c r="P4" i="1" s="1"/>
  <c r="P6" i="1" s="1"/>
  <c r="Q5" i="1"/>
  <c r="Q4" i="1" s="1"/>
  <c r="Q6" i="1" s="1"/>
  <c r="R5" i="1"/>
  <c r="R4" i="1" s="1"/>
  <c r="R6" i="1" s="1"/>
  <c r="S5" i="1"/>
  <c r="S4" i="1" s="1"/>
  <c r="S6" i="1" s="1"/>
  <c r="T5" i="1"/>
  <c r="T4" i="1" s="1"/>
  <c r="T6" i="1" s="1"/>
  <c r="U5" i="1"/>
  <c r="U4" i="1" s="1"/>
  <c r="U6" i="1" s="1"/>
  <c r="V5" i="1"/>
  <c r="V4" i="1" s="1"/>
  <c r="V6" i="1" s="1"/>
  <c r="W5" i="1"/>
  <c r="W4" i="1" s="1"/>
  <c r="W6" i="1" s="1"/>
  <c r="X5" i="1"/>
  <c r="X4" i="1" s="1"/>
  <c r="X6" i="1" s="1"/>
  <c r="Y5" i="1"/>
  <c r="Y4" i="1" s="1"/>
  <c r="Y6" i="1" s="1"/>
  <c r="Z5" i="1"/>
  <c r="Z4" i="1" s="1"/>
  <c r="Z6" i="1" s="1"/>
  <c r="AA5" i="1"/>
  <c r="AA4" i="1" s="1"/>
  <c r="AA6" i="1" s="1"/>
  <c r="AB5" i="1"/>
  <c r="AB4" i="1" s="1"/>
  <c r="AB6" i="1" s="1"/>
  <c r="AC5" i="1"/>
  <c r="AC4" i="1" s="1"/>
  <c r="AC6" i="1" s="1"/>
  <c r="AD5" i="1"/>
  <c r="AD4" i="1" s="1"/>
  <c r="AD6" i="1" s="1"/>
  <c r="AE5" i="1"/>
  <c r="AE4" i="1" s="1"/>
  <c r="AE6" i="1" s="1"/>
  <c r="AF5" i="1"/>
  <c r="AF4" i="1" s="1"/>
  <c r="AF6" i="1" s="1"/>
  <c r="AG5" i="1"/>
  <c r="AG4" i="1" s="1"/>
  <c r="AG6" i="1" s="1"/>
  <c r="AH5" i="1"/>
  <c r="AH4" i="1" s="1"/>
  <c r="AH6" i="1" s="1"/>
  <c r="AI5" i="1"/>
  <c r="AI4" i="1" s="1"/>
  <c r="AI6" i="1" s="1"/>
  <c r="AJ5" i="1"/>
  <c r="AJ4" i="1" s="1"/>
  <c r="AJ6" i="1" s="1"/>
  <c r="AK5" i="1"/>
  <c r="AK4" i="1" s="1"/>
  <c r="AK6" i="1" s="1"/>
  <c r="AL5" i="1"/>
  <c r="AM5" i="1"/>
  <c r="AM4" i="1" s="1"/>
  <c r="AM6" i="1" s="1"/>
  <c r="AN5" i="1"/>
  <c r="AN4" i="1" s="1"/>
  <c r="AN6" i="1" s="1"/>
  <c r="AO5" i="1"/>
  <c r="AZ5" i="1"/>
  <c r="AZ4" i="1" s="1"/>
  <c r="AZ6" i="1" s="1"/>
  <c r="BA5" i="1"/>
  <c r="BA4" i="1" s="1"/>
  <c r="BA6" i="1" s="1"/>
  <c r="BB5" i="1"/>
  <c r="BB4" i="1" s="1"/>
  <c r="BB6" i="1" s="1"/>
  <c r="BC5" i="1"/>
  <c r="BC4" i="1" s="1"/>
  <c r="BC6" i="1" s="1"/>
  <c r="BD5" i="1"/>
  <c r="BD4" i="1" s="1"/>
  <c r="BD6" i="1" s="1"/>
  <c r="BE5" i="1"/>
  <c r="BE4" i="1" s="1"/>
  <c r="BE6" i="1" s="1"/>
  <c r="BF5" i="1"/>
  <c r="BF4" i="1" s="1"/>
  <c r="BF6" i="1" s="1"/>
  <c r="BG5" i="1"/>
  <c r="BG4" i="1" s="1"/>
  <c r="BG6" i="1" s="1"/>
  <c r="BH5" i="1"/>
  <c r="BH4" i="1" s="1"/>
  <c r="BH6" i="1" s="1"/>
  <c r="BI5" i="1"/>
  <c r="BI4" i="1" s="1"/>
  <c r="BI6" i="1" s="1"/>
  <c r="BJ5" i="1"/>
  <c r="BJ4" i="1" s="1"/>
  <c r="BJ6" i="1" s="1"/>
  <c r="BK5" i="1"/>
  <c r="BK4" i="1" s="1"/>
  <c r="BK6" i="1" s="1"/>
  <c r="BL5" i="1"/>
  <c r="BL4" i="1" s="1"/>
  <c r="BL6" i="1" s="1"/>
  <c r="BM5" i="1"/>
  <c r="BM4" i="1" s="1"/>
  <c r="BM6" i="1" s="1"/>
  <c r="BN5" i="1"/>
  <c r="BN4" i="1" s="1"/>
  <c r="BN6" i="1" s="1"/>
  <c r="BO5" i="1"/>
  <c r="BO4" i="1" s="1"/>
  <c r="BO6" i="1" s="1"/>
  <c r="BP5" i="1"/>
  <c r="BP4" i="1" s="1"/>
  <c r="BP6" i="1" s="1"/>
  <c r="BQ5" i="1"/>
  <c r="BQ4" i="1" s="1"/>
  <c r="BQ6" i="1" s="1"/>
  <c r="BR5" i="1"/>
  <c r="BR4" i="1" s="1"/>
  <c r="BR6" i="1" s="1"/>
  <c r="BS5" i="1"/>
  <c r="BS4" i="1" s="1"/>
  <c r="BS6" i="1" s="1"/>
  <c r="BT5" i="1"/>
  <c r="BT4" i="1" s="1"/>
  <c r="BT6" i="1" s="1"/>
  <c r="BU5" i="1"/>
  <c r="BU4" i="1" s="1"/>
  <c r="BU6" i="1" s="1"/>
  <c r="BV5" i="1"/>
  <c r="BV4" i="1" s="1"/>
  <c r="BV6" i="1" s="1"/>
  <c r="BW5" i="1"/>
  <c r="BW4" i="1" s="1"/>
  <c r="BW6" i="1" s="1"/>
  <c r="BX5" i="1"/>
  <c r="BX4" i="1" s="1"/>
  <c r="BX6" i="1" s="1"/>
  <c r="BY5" i="1"/>
  <c r="BY4" i="1" s="1"/>
  <c r="BY6" i="1" s="1"/>
  <c r="BZ5" i="1"/>
  <c r="BZ4" i="1" s="1"/>
  <c r="BZ6" i="1" s="1"/>
  <c r="CA5" i="1"/>
  <c r="CA4" i="1" s="1"/>
  <c r="CA6" i="1" s="1"/>
  <c r="CB5" i="1"/>
  <c r="CB4" i="1" s="1"/>
  <c r="CB6" i="1" s="1"/>
  <c r="CC5" i="1"/>
  <c r="CC4" i="1" s="1"/>
  <c r="CC6" i="1" s="1"/>
  <c r="CD5" i="1"/>
  <c r="CD4" i="1" s="1"/>
  <c r="CD6" i="1" s="1"/>
  <c r="CE5" i="1"/>
  <c r="CE4" i="1" s="1"/>
  <c r="CE6" i="1" s="1"/>
  <c r="CF5" i="1"/>
  <c r="CF4" i="1" s="1"/>
  <c r="CF6" i="1" s="1"/>
  <c r="CG5" i="1"/>
  <c r="CG4" i="1" s="1"/>
  <c r="CG6" i="1" s="1"/>
  <c r="CH5" i="1"/>
  <c r="CI5" i="1"/>
  <c r="CJ5" i="1"/>
  <c r="CK5" i="1"/>
  <c r="CK4" i="1" s="1"/>
  <c r="CK6" i="1" s="1"/>
  <c r="CL5" i="1"/>
  <c r="CM5" i="1"/>
  <c r="B52" i="5"/>
  <c r="C52" i="5"/>
  <c r="D52" i="5"/>
  <c r="E52" i="5"/>
  <c r="F52" i="5"/>
  <c r="G52" i="5"/>
  <c r="H52" i="5"/>
  <c r="I52" i="5"/>
  <c r="J52" i="5"/>
  <c r="K52" i="5"/>
  <c r="L52" i="5"/>
  <c r="M52" i="5"/>
  <c r="N52" i="5"/>
  <c r="O52" i="5"/>
  <c r="P52" i="5"/>
  <c r="Q52" i="5"/>
  <c r="R52" i="5"/>
  <c r="S52" i="5"/>
  <c r="B38" i="5"/>
  <c r="C38" i="5"/>
  <c r="D38" i="5"/>
  <c r="E38" i="5"/>
  <c r="F38" i="5"/>
  <c r="G38" i="5"/>
  <c r="H38" i="5"/>
  <c r="I38" i="5"/>
  <c r="J38" i="5"/>
  <c r="K38" i="5"/>
  <c r="L38" i="5"/>
  <c r="M38" i="5"/>
  <c r="N38" i="5"/>
  <c r="O38" i="5"/>
  <c r="P38" i="5"/>
  <c r="Q38" i="5"/>
  <c r="R38" i="5"/>
  <c r="S38" i="5"/>
  <c r="B23" i="5"/>
  <c r="C23" i="5"/>
  <c r="D23" i="5"/>
  <c r="E23" i="5"/>
  <c r="F23" i="5"/>
  <c r="G23" i="5"/>
  <c r="H23" i="5"/>
  <c r="I23" i="5"/>
  <c r="J23" i="5"/>
  <c r="K23" i="5"/>
  <c r="L23" i="5"/>
  <c r="M23" i="5"/>
  <c r="N23" i="5"/>
  <c r="O23" i="5"/>
  <c r="P23" i="5"/>
  <c r="Q23" i="5"/>
  <c r="R23" i="5"/>
  <c r="S23" i="5"/>
  <c r="B5" i="5"/>
  <c r="C5" i="5"/>
  <c r="D5" i="5"/>
  <c r="E5" i="5"/>
  <c r="F5" i="5"/>
  <c r="G5" i="5"/>
  <c r="H5" i="5"/>
  <c r="I5" i="5"/>
  <c r="J5" i="5"/>
  <c r="K5" i="5"/>
  <c r="L5" i="5"/>
  <c r="M5" i="5"/>
  <c r="N5" i="5"/>
  <c r="O5" i="5"/>
  <c r="P5" i="5"/>
  <c r="Q5" i="5"/>
  <c r="R5" i="5"/>
  <c r="S5" i="5"/>
  <c r="AP52" i="4"/>
  <c r="AO52" i="4"/>
  <c r="AN52" i="4"/>
  <c r="AM52" i="4"/>
  <c r="AL52" i="4"/>
  <c r="AK52" i="4"/>
  <c r="AJ52" i="4"/>
  <c r="AI51" i="9" s="1"/>
  <c r="AI52" i="4"/>
  <c r="AH52" i="4"/>
  <c r="AG52" i="4"/>
  <c r="AF52" i="4"/>
  <c r="AE52" i="4"/>
  <c r="AD52" i="4"/>
  <c r="AC51" i="9" s="1"/>
  <c r="AC52" i="4"/>
  <c r="AB52" i="4"/>
  <c r="AA51" i="9" s="1"/>
  <c r="AA52" i="4"/>
  <c r="Z52" i="4"/>
  <c r="Y52" i="4"/>
  <c r="X52" i="4"/>
  <c r="W52" i="4"/>
  <c r="V52" i="4"/>
  <c r="U51" i="9" s="1"/>
  <c r="U52" i="4"/>
  <c r="T52" i="4"/>
  <c r="S51" i="9" s="1"/>
  <c r="S52" i="4"/>
  <c r="R52" i="4"/>
  <c r="Q52" i="4"/>
  <c r="P52" i="4"/>
  <c r="O52" i="4"/>
  <c r="N52" i="4"/>
  <c r="M51" i="9" s="1"/>
  <c r="M52" i="4"/>
  <c r="L52" i="4"/>
  <c r="K51" i="9" s="1"/>
  <c r="K52" i="4"/>
  <c r="J52" i="4"/>
  <c r="I52" i="4"/>
  <c r="H52" i="4"/>
  <c r="G52" i="4"/>
  <c r="F52" i="4"/>
  <c r="E51" i="9" s="1"/>
  <c r="E52" i="4"/>
  <c r="D52" i="4"/>
  <c r="C51" i="9" s="1"/>
  <c r="C52" i="4"/>
  <c r="B52" i="4"/>
  <c r="B53" i="4" s="1"/>
  <c r="B38" i="4"/>
  <c r="B39" i="4" s="1"/>
  <c r="C38" i="4"/>
  <c r="B37" i="9" s="1"/>
  <c r="D38" i="4"/>
  <c r="E38" i="4"/>
  <c r="F38" i="4"/>
  <c r="G38" i="4"/>
  <c r="H38" i="4"/>
  <c r="I38" i="4"/>
  <c r="J38" i="4"/>
  <c r="K38" i="4"/>
  <c r="J37" i="9" s="1"/>
  <c r="L38" i="4"/>
  <c r="M38" i="4"/>
  <c r="N38" i="4"/>
  <c r="O38" i="4"/>
  <c r="P38" i="4"/>
  <c r="Q38" i="4"/>
  <c r="R38" i="4"/>
  <c r="S38" i="4"/>
  <c r="R37" i="9" s="1"/>
  <c r="T38" i="4"/>
  <c r="U38" i="4"/>
  <c r="V38" i="4"/>
  <c r="W38" i="4"/>
  <c r="X38" i="4"/>
  <c r="Y38" i="4"/>
  <c r="Z38" i="4"/>
  <c r="AA38" i="4"/>
  <c r="Z37" i="9" s="1"/>
  <c r="AB38" i="4"/>
  <c r="AC38" i="4"/>
  <c r="AD38" i="4"/>
  <c r="AE38" i="4"/>
  <c r="AF38" i="4"/>
  <c r="AG38" i="4"/>
  <c r="AH38" i="4"/>
  <c r="AI38" i="4"/>
  <c r="AH37" i="9" s="1"/>
  <c r="AJ38" i="4"/>
  <c r="AK38" i="4"/>
  <c r="AL38" i="4"/>
  <c r="AM38" i="4"/>
  <c r="AN38" i="4"/>
  <c r="AO38" i="4"/>
  <c r="AP38" i="4"/>
  <c r="B23" i="4"/>
  <c r="C23" i="4"/>
  <c r="B22" i="9" s="1"/>
  <c r="D23" i="4"/>
  <c r="C22" i="9" s="1"/>
  <c r="E23" i="4"/>
  <c r="F23" i="4"/>
  <c r="G23" i="4"/>
  <c r="H23" i="4"/>
  <c r="I23" i="4"/>
  <c r="J23" i="4"/>
  <c r="K23" i="4"/>
  <c r="J22" i="9" s="1"/>
  <c r="L23" i="4"/>
  <c r="K22" i="9" s="1"/>
  <c r="M23" i="4"/>
  <c r="N23" i="4"/>
  <c r="O23" i="4"/>
  <c r="P23" i="4"/>
  <c r="Q23" i="4"/>
  <c r="R23" i="4"/>
  <c r="S23" i="4"/>
  <c r="R22" i="9" s="1"/>
  <c r="T23" i="4"/>
  <c r="S22" i="9" s="1"/>
  <c r="U23" i="4"/>
  <c r="V23" i="4"/>
  <c r="W23" i="4"/>
  <c r="X23" i="4"/>
  <c r="Y23" i="4"/>
  <c r="Z23" i="4"/>
  <c r="AA23" i="4"/>
  <c r="Z22" i="9" s="1"/>
  <c r="AB23" i="4"/>
  <c r="AA22" i="9" s="1"/>
  <c r="AC23" i="4"/>
  <c r="AD23" i="4"/>
  <c r="AE23" i="4"/>
  <c r="AF23" i="4"/>
  <c r="AG23" i="4"/>
  <c r="AH23" i="4"/>
  <c r="AI23" i="4"/>
  <c r="AH22" i="9" s="1"/>
  <c r="AJ23" i="4"/>
  <c r="AI22" i="9" s="1"/>
  <c r="AK23" i="4"/>
  <c r="AL23" i="4"/>
  <c r="AM23" i="4"/>
  <c r="AN23" i="4"/>
  <c r="AO23" i="4"/>
  <c r="AP23" i="4"/>
  <c r="B24" i="4"/>
  <c r="D5" i="4"/>
  <c r="E5" i="4"/>
  <c r="F5" i="4"/>
  <c r="G5" i="4"/>
  <c r="H5" i="4"/>
  <c r="I5" i="4"/>
  <c r="J5" i="4"/>
  <c r="K5" i="4"/>
  <c r="L5" i="4"/>
  <c r="M5" i="4"/>
  <c r="N5" i="4"/>
  <c r="O5" i="4"/>
  <c r="P5" i="4"/>
  <c r="Q5" i="4"/>
  <c r="R5" i="4"/>
  <c r="S5" i="4"/>
  <c r="T5" i="4"/>
  <c r="U5" i="4"/>
  <c r="V5" i="4"/>
  <c r="W5" i="4"/>
  <c r="X5" i="4"/>
  <c r="Y5" i="4"/>
  <c r="Z5" i="4"/>
  <c r="AA5" i="4"/>
  <c r="AB5" i="4"/>
  <c r="AC5" i="4"/>
  <c r="AD5" i="4"/>
  <c r="AE5" i="4"/>
  <c r="AF5" i="4"/>
  <c r="AG5" i="4"/>
  <c r="AH5" i="4"/>
  <c r="AI5" i="4"/>
  <c r="AJ5" i="4"/>
  <c r="AK5" i="4"/>
  <c r="AL5" i="4"/>
  <c r="AM5" i="4"/>
  <c r="AN5" i="4"/>
  <c r="AO5" i="4"/>
  <c r="AP5" i="4"/>
  <c r="B5" i="4"/>
  <c r="B6" i="4" s="1"/>
  <c r="C5" i="4"/>
  <c r="C4" i="1" l="1"/>
  <c r="C6" i="1" s="1"/>
  <c r="AB22" i="9"/>
  <c r="T22" i="9"/>
  <c r="L22" i="9"/>
  <c r="D22" i="9"/>
  <c r="AB37" i="9"/>
  <c r="L37" i="9"/>
  <c r="T37" i="9"/>
  <c r="D37" i="9"/>
  <c r="AI37" i="9"/>
  <c r="AA37" i="9"/>
  <c r="S37" i="9"/>
  <c r="K37" i="9"/>
  <c r="C37" i="9"/>
  <c r="M39" i="8"/>
  <c r="N24" i="8"/>
  <c r="J24" i="8"/>
  <c r="AO4" i="1"/>
  <c r="AO6" i="1" s="1"/>
  <c r="K39" i="8"/>
  <c r="L24" i="8"/>
  <c r="L39" i="8"/>
  <c r="S53" i="8"/>
  <c r="AO4" i="9"/>
  <c r="AG22" i="9"/>
  <c r="I22" i="9"/>
  <c r="X53" i="8"/>
  <c r="V39" i="8"/>
  <c r="V53" i="8"/>
  <c r="Y22" i="9"/>
  <c r="AO37" i="9"/>
  <c r="Y37" i="9"/>
  <c r="Q37" i="9"/>
  <c r="I37" i="9"/>
  <c r="X24" i="8"/>
  <c r="T39" i="8"/>
  <c r="W39" i="8"/>
  <c r="W53" i="8"/>
  <c r="AO22" i="9"/>
  <c r="Q22" i="9"/>
  <c r="X39" i="8"/>
  <c r="AG37" i="9"/>
  <c r="I51" i="9"/>
  <c r="Q51" i="9"/>
  <c r="Y51" i="9"/>
  <c r="AG51" i="9"/>
  <c r="AO51" i="9"/>
  <c r="V24" i="8"/>
  <c r="L53" i="8"/>
  <c r="AN24" i="7"/>
  <c r="AN6" i="7"/>
  <c r="AR24" i="7"/>
  <c r="L39" i="7"/>
  <c r="L6" i="7"/>
  <c r="AS39" i="7"/>
  <c r="CL4" i="1"/>
  <c r="CL39" i="1" s="1"/>
  <c r="H4" i="5"/>
  <c r="H6" i="5" s="1"/>
  <c r="O24" i="8"/>
  <c r="M24" i="8"/>
  <c r="AN22" i="9"/>
  <c r="P22" i="9"/>
  <c r="O51" i="9"/>
  <c r="AE51" i="9"/>
  <c r="K24" i="8"/>
  <c r="J53" i="8"/>
  <c r="AM22" i="9"/>
  <c r="AE22" i="9"/>
  <c r="O22" i="9"/>
  <c r="P53" i="7"/>
  <c r="R24" i="8"/>
  <c r="T24" i="7"/>
  <c r="BT39" i="7"/>
  <c r="Q24" i="8"/>
  <c r="AM39" i="7"/>
  <c r="W6" i="7"/>
  <c r="G4" i="5"/>
  <c r="G6" i="5" s="1"/>
  <c r="W39" i="7"/>
  <c r="AF22" i="9"/>
  <c r="X22" i="9"/>
  <c r="H22" i="9"/>
  <c r="G51" i="9"/>
  <c r="W51" i="9"/>
  <c r="AM51" i="9"/>
  <c r="W22" i="9"/>
  <c r="G22" i="9"/>
  <c r="O53" i="8"/>
  <c r="R39" i="8"/>
  <c r="M53" i="8"/>
  <c r="AM37" i="9"/>
  <c r="AE37" i="9"/>
  <c r="W37" i="9"/>
  <c r="O37" i="9"/>
  <c r="G37" i="9"/>
  <c r="B51" i="9"/>
  <c r="J51" i="9"/>
  <c r="R51" i="9"/>
  <c r="Z51" i="9"/>
  <c r="AH51" i="9"/>
  <c r="W24" i="8"/>
  <c r="Q39" i="8"/>
  <c r="P24" i="8"/>
  <c r="P39" i="8"/>
  <c r="K53" i="8"/>
  <c r="P39" i="7"/>
  <c r="BO39" i="7"/>
  <c r="AY39" i="7"/>
  <c r="P24" i="7"/>
  <c r="BU24" i="7"/>
  <c r="BS6" i="7"/>
  <c r="V24" i="7"/>
  <c r="AS24" i="7"/>
  <c r="K39" i="7"/>
  <c r="AU53" i="7"/>
  <c r="BC39" i="7"/>
  <c r="AU39" i="7"/>
  <c r="AY24" i="7"/>
  <c r="AU24" i="7"/>
  <c r="S24" i="7"/>
  <c r="AR53" i="7"/>
  <c r="AS53" i="7"/>
  <c r="BS24" i="7"/>
  <c r="M39" i="7"/>
  <c r="Q24" i="7"/>
  <c r="AP53" i="7"/>
  <c r="BO6" i="7"/>
  <c r="O39" i="7"/>
  <c r="BA6" i="7"/>
  <c r="O24" i="7"/>
  <c r="AN53" i="7"/>
  <c r="AT39" i="7"/>
  <c r="BR6" i="7"/>
  <c r="BA24" i="7"/>
  <c r="G39" i="7"/>
  <c r="BE53" i="7"/>
  <c r="U53" i="7"/>
  <c r="Q39" i="7"/>
  <c r="P4" i="5"/>
  <c r="P6" i="5" s="1"/>
  <c r="U39" i="7"/>
  <c r="U53" i="8"/>
  <c r="U39" i="8"/>
  <c r="U24" i="8"/>
  <c r="CJ4" i="1"/>
  <c r="CJ6" i="1" s="1"/>
  <c r="AL4" i="1"/>
  <c r="AL6" i="1" s="1"/>
  <c r="AQ39" i="7"/>
  <c r="AQ53" i="7"/>
  <c r="V39" i="7"/>
  <c r="BP24" i="7"/>
  <c r="AQ24" i="7"/>
  <c r="BR39" i="7"/>
  <c r="T39" i="7"/>
  <c r="BA39" i="7"/>
  <c r="BP53" i="7"/>
  <c r="N53" i="7"/>
  <c r="V6" i="7"/>
  <c r="BC53" i="7"/>
  <c r="BD24" i="7"/>
  <c r="L24" i="7"/>
  <c r="AM24" i="7"/>
  <c r="BD53" i="7"/>
  <c r="AT24" i="7"/>
  <c r="U24" i="7"/>
  <c r="BD39" i="7"/>
  <c r="N39" i="7"/>
  <c r="AY53" i="7"/>
  <c r="AP39" i="7"/>
  <c r="BS39" i="7"/>
  <c r="V53" i="7"/>
  <c r="M24" i="7"/>
  <c r="BT53" i="7"/>
  <c r="BT6" i="7"/>
  <c r="G24" i="7"/>
  <c r="BR53" i="7"/>
  <c r="AK51" i="9"/>
  <c r="F51" i="9"/>
  <c r="CI4" i="1"/>
  <c r="CI24" i="1" s="1"/>
  <c r="Q53" i="8"/>
  <c r="J6" i="7"/>
  <c r="AL37" i="9"/>
  <c r="AD37" i="9"/>
  <c r="V37" i="9"/>
  <c r="N37" i="9"/>
  <c r="F37" i="9"/>
  <c r="R4" i="5"/>
  <c r="R24" i="5" s="1"/>
  <c r="J4" i="5"/>
  <c r="J6" i="5" s="1"/>
  <c r="B4" i="5"/>
  <c r="B6" i="5" s="1"/>
  <c r="BT24" i="7"/>
  <c r="BE24" i="7"/>
  <c r="R39" i="7"/>
  <c r="AO39" i="7"/>
  <c r="AX53" i="7"/>
  <c r="AK37" i="9"/>
  <c r="AC37" i="9"/>
  <c r="U37" i="9"/>
  <c r="M37" i="9"/>
  <c r="E37" i="9"/>
  <c r="D51" i="9"/>
  <c r="L51" i="9"/>
  <c r="T51" i="9"/>
  <c r="AB51" i="9"/>
  <c r="Q4" i="5"/>
  <c r="Q6" i="5" s="1"/>
  <c r="I4" i="5"/>
  <c r="I6" i="5" s="1"/>
  <c r="BR24" i="7"/>
  <c r="AP24" i="7"/>
  <c r="N24" i="7"/>
  <c r="BC24" i="7"/>
  <c r="W24" i="7"/>
  <c r="AR39" i="7"/>
  <c r="BE39" i="7"/>
  <c r="AT53" i="7"/>
  <c r="R53" i="7"/>
  <c r="BO53" i="7"/>
  <c r="AO53" i="7"/>
  <c r="BQ6" i="7"/>
  <c r="N51" i="9"/>
  <c r="AD51" i="9"/>
  <c r="O4" i="5"/>
  <c r="O24" i="5" s="1"/>
  <c r="F4" i="5"/>
  <c r="F6" i="5" s="1"/>
  <c r="X24" i="7"/>
  <c r="X6" i="7"/>
  <c r="H51" i="9"/>
  <c r="P51" i="9"/>
  <c r="X51" i="9"/>
  <c r="AF51" i="9"/>
  <c r="AN51" i="9"/>
  <c r="M4" i="5"/>
  <c r="M6" i="5" s="1"/>
  <c r="E4" i="5"/>
  <c r="E6" i="5" s="1"/>
  <c r="AZ24" i="7"/>
  <c r="BB39" i="7"/>
  <c r="X39" i="7"/>
  <c r="J53" i="7"/>
  <c r="T53" i="8"/>
  <c r="V51" i="9"/>
  <c r="AL51" i="9"/>
  <c r="R53" i="8"/>
  <c r="J24" i="7"/>
  <c r="AL22" i="9"/>
  <c r="AD22" i="9"/>
  <c r="V22" i="9"/>
  <c r="N22" i="9"/>
  <c r="F22" i="9"/>
  <c r="AN37" i="9"/>
  <c r="AF37" i="9"/>
  <c r="X37" i="9"/>
  <c r="P37" i="9"/>
  <c r="H37" i="9"/>
  <c r="L4" i="5"/>
  <c r="L6" i="5" s="1"/>
  <c r="D4" i="5"/>
  <c r="D6" i="5" s="1"/>
  <c r="AX24" i="7"/>
  <c r="BQ24" i="7"/>
  <c r="AZ39" i="7"/>
  <c r="BB53" i="7"/>
  <c r="N4" i="5"/>
  <c r="N6" i="5" s="1"/>
  <c r="P53" i="8"/>
  <c r="BB24" i="7"/>
  <c r="AK22" i="9"/>
  <c r="AC22" i="9"/>
  <c r="U22" i="9"/>
  <c r="M22" i="9"/>
  <c r="E22" i="9"/>
  <c r="S4" i="5"/>
  <c r="S6" i="5" s="1"/>
  <c r="K4" i="5"/>
  <c r="K6" i="5" s="1"/>
  <c r="C4" i="5"/>
  <c r="C6" i="5" s="1"/>
  <c r="G6" i="8"/>
  <c r="G24" i="8"/>
  <c r="G39" i="8"/>
  <c r="R24" i="7"/>
  <c r="AO24" i="7"/>
  <c r="K24" i="7"/>
  <c r="AX39" i="7"/>
  <c r="BQ39" i="7"/>
  <c r="AZ53" i="7"/>
  <c r="BU53" i="7"/>
  <c r="BP6" i="7"/>
  <c r="S6" i="7"/>
  <c r="AO4" i="4"/>
  <c r="AO53" i="4" s="1"/>
  <c r="AN4" i="9"/>
  <c r="AM4" i="4"/>
  <c r="AM24" i="4" s="1"/>
  <c r="AL4" i="9"/>
  <c r="AI4" i="4"/>
  <c r="AI53" i="4" s="1"/>
  <c r="AH4" i="9"/>
  <c r="AE4" i="4"/>
  <c r="AE53" i="4" s="1"/>
  <c r="AD4" i="9"/>
  <c r="AA4" i="4"/>
  <c r="AA39" i="4" s="1"/>
  <c r="Z4" i="9"/>
  <c r="C4" i="4"/>
  <c r="C39" i="4" s="1"/>
  <c r="B4" i="9"/>
  <c r="AN4" i="4"/>
  <c r="AN53" i="4" s="1"/>
  <c r="AM4" i="9"/>
  <c r="AL4" i="4"/>
  <c r="AL39" i="4" s="1"/>
  <c r="AK4" i="9"/>
  <c r="AJ4" i="4"/>
  <c r="AJ53" i="4" s="1"/>
  <c r="AI4" i="9"/>
  <c r="AH4" i="4"/>
  <c r="AH39" i="4" s="1"/>
  <c r="AG4" i="9"/>
  <c r="AF4" i="4"/>
  <c r="AF24" i="4" s="1"/>
  <c r="AE4" i="9"/>
  <c r="AD4" i="4"/>
  <c r="AD53" i="4" s="1"/>
  <c r="AC4" i="9"/>
  <c r="AB4" i="4"/>
  <c r="AB53" i="4" s="1"/>
  <c r="AA4" i="9"/>
  <c r="Z4" i="4"/>
  <c r="Z39" i="4" s="1"/>
  <c r="Y4" i="9"/>
  <c r="X4" i="4"/>
  <c r="X53" i="4" s="1"/>
  <c r="W4" i="9"/>
  <c r="V4" i="4"/>
  <c r="V24" i="4" s="1"/>
  <c r="U4" i="9"/>
  <c r="T4" i="4"/>
  <c r="T24" i="4" s="1"/>
  <c r="S4" i="9"/>
  <c r="R4" i="4"/>
  <c r="R39" i="4" s="1"/>
  <c r="Q4" i="9"/>
  <c r="P4" i="4"/>
  <c r="P39" i="4" s="1"/>
  <c r="O4" i="9"/>
  <c r="N4" i="4"/>
  <c r="N53" i="4" s="1"/>
  <c r="M4" i="9"/>
  <c r="L4" i="4"/>
  <c r="L53" i="4" s="1"/>
  <c r="K4" i="9"/>
  <c r="J4" i="4"/>
  <c r="I4" i="9"/>
  <c r="H4" i="4"/>
  <c r="H39" i="4" s="1"/>
  <c r="G4" i="9"/>
  <c r="F4" i="4"/>
  <c r="F24" i="4" s="1"/>
  <c r="E4" i="9"/>
  <c r="D4" i="4"/>
  <c r="D24" i="4" s="1"/>
  <c r="C4" i="9"/>
  <c r="AJ51" i="9"/>
  <c r="AJ4" i="9"/>
  <c r="AG4" i="4"/>
  <c r="AG53" i="4" s="1"/>
  <c r="AF4" i="9"/>
  <c r="AC4" i="4"/>
  <c r="AC39" i="4" s="1"/>
  <c r="AB4" i="9"/>
  <c r="Y4" i="4"/>
  <c r="Y24" i="4" s="1"/>
  <c r="X4" i="9"/>
  <c r="W4" i="4"/>
  <c r="W24" i="4" s="1"/>
  <c r="V4" i="9"/>
  <c r="U4" i="4"/>
  <c r="U53" i="4" s="1"/>
  <c r="T4" i="9"/>
  <c r="S4" i="4"/>
  <c r="S53" i="4" s="1"/>
  <c r="R4" i="9"/>
  <c r="Q4" i="4"/>
  <c r="Q39" i="4" s="1"/>
  <c r="P4" i="9"/>
  <c r="O4" i="4"/>
  <c r="O53" i="4" s="1"/>
  <c r="N4" i="9"/>
  <c r="M4" i="4"/>
  <c r="M39" i="4" s="1"/>
  <c r="L4" i="9"/>
  <c r="K4" i="4"/>
  <c r="K24" i="4" s="1"/>
  <c r="J4" i="9"/>
  <c r="I4" i="4"/>
  <c r="I24" i="4" s="1"/>
  <c r="H4" i="9"/>
  <c r="G4" i="4"/>
  <c r="G24" i="4" s="1"/>
  <c r="F4" i="9"/>
  <c r="E4" i="4"/>
  <c r="E39" i="4" s="1"/>
  <c r="D4" i="9"/>
  <c r="AJ22" i="9"/>
  <c r="AJ37" i="9"/>
  <c r="AP4" i="4"/>
  <c r="AK4" i="4"/>
  <c r="AK39" i="4" s="1"/>
  <c r="CM4" i="1"/>
  <c r="CM53" i="1" s="1"/>
  <c r="CH4" i="1"/>
  <c r="CH53" i="1" s="1"/>
  <c r="S53" i="6"/>
  <c r="S39" i="6"/>
  <c r="S24" i="6"/>
  <c r="AU53" i="6"/>
  <c r="AU39" i="6"/>
  <c r="AU24" i="6"/>
  <c r="U6" i="7"/>
  <c r="O6" i="7"/>
  <c r="G6" i="7"/>
  <c r="BS53" i="7"/>
  <c r="W53" i="7"/>
  <c r="S53" i="7"/>
  <c r="K53" i="7"/>
  <c r="BU6" i="7"/>
  <c r="AM6" i="7"/>
  <c r="M6" i="7"/>
  <c r="Q6" i="7"/>
  <c r="CL53" i="1"/>
  <c r="CG53" i="1"/>
  <c r="CE53" i="1"/>
  <c r="CC53" i="1"/>
  <c r="CA53" i="1"/>
  <c r="BY53" i="1"/>
  <c r="BW53" i="1"/>
  <c r="BU53" i="1"/>
  <c r="BS53" i="1"/>
  <c r="BQ53" i="1"/>
  <c r="BO53" i="1"/>
  <c r="BM53" i="1"/>
  <c r="BK53" i="1"/>
  <c r="BI53" i="1"/>
  <c r="BG53" i="1"/>
  <c r="BE53" i="1"/>
  <c r="BC53" i="1"/>
  <c r="BA53" i="1"/>
  <c r="AO53" i="1"/>
  <c r="AM53" i="1"/>
  <c r="AK53" i="1"/>
  <c r="AH53" i="1"/>
  <c r="AF53" i="1"/>
  <c r="AD53" i="1"/>
  <c r="AB53" i="1"/>
  <c r="Z53" i="1"/>
  <c r="X53" i="1"/>
  <c r="V53" i="1"/>
  <c r="T53" i="1"/>
  <c r="R53" i="1"/>
  <c r="P53" i="1"/>
  <c r="N53" i="1"/>
  <c r="L53" i="1"/>
  <c r="J53" i="1"/>
  <c r="H53" i="1"/>
  <c r="F53" i="1"/>
  <c r="D53" i="1"/>
  <c r="B53" i="1"/>
  <c r="CK53" i="1"/>
  <c r="CI53" i="1"/>
  <c r="CF53" i="1"/>
  <c r="CD53" i="1"/>
  <c r="CB53" i="1"/>
  <c r="BZ53" i="1"/>
  <c r="BX53" i="1"/>
  <c r="BV53" i="1"/>
  <c r="BT53" i="1"/>
  <c r="BR53" i="1"/>
  <c r="BP53" i="1"/>
  <c r="BN53" i="1"/>
  <c r="BL53" i="1"/>
  <c r="BJ53" i="1"/>
  <c r="BH53" i="1"/>
  <c r="BF53" i="1"/>
  <c r="BD53" i="1"/>
  <c r="BB53" i="1"/>
  <c r="AZ53" i="1"/>
  <c r="AN53" i="1"/>
  <c r="AJ53" i="1"/>
  <c r="AI53" i="1"/>
  <c r="AG53" i="1"/>
  <c r="AE53" i="1"/>
  <c r="AC53" i="1"/>
  <c r="AA53" i="1"/>
  <c r="Y53" i="1"/>
  <c r="W53" i="1"/>
  <c r="U53" i="1"/>
  <c r="S53" i="1"/>
  <c r="Q53" i="1"/>
  <c r="O53" i="1"/>
  <c r="M53" i="1"/>
  <c r="K53" i="1"/>
  <c r="I53" i="1"/>
  <c r="G53" i="1"/>
  <c r="E53" i="1"/>
  <c r="CG39" i="1"/>
  <c r="CE39" i="1"/>
  <c r="CC39" i="1"/>
  <c r="CA39" i="1"/>
  <c r="BY39" i="1"/>
  <c r="BW39" i="1"/>
  <c r="BU39" i="1"/>
  <c r="BS39" i="1"/>
  <c r="BQ39" i="1"/>
  <c r="BO39" i="1"/>
  <c r="BM39" i="1"/>
  <c r="BK39" i="1"/>
  <c r="BI39" i="1"/>
  <c r="BG39" i="1"/>
  <c r="BE39" i="1"/>
  <c r="BC39" i="1"/>
  <c r="BA39" i="1"/>
  <c r="AO39" i="1"/>
  <c r="AM39" i="1"/>
  <c r="AK39" i="1"/>
  <c r="AH39" i="1"/>
  <c r="AF39" i="1"/>
  <c r="AD39" i="1"/>
  <c r="AB39" i="1"/>
  <c r="Z39" i="1"/>
  <c r="X39" i="1"/>
  <c r="V39" i="1"/>
  <c r="T39" i="1"/>
  <c r="R39" i="1"/>
  <c r="P39" i="1"/>
  <c r="N39" i="1"/>
  <c r="L39" i="1"/>
  <c r="J39" i="1"/>
  <c r="H39" i="1"/>
  <c r="F39" i="1"/>
  <c r="D39" i="1"/>
  <c r="B39" i="1"/>
  <c r="CK39" i="1"/>
  <c r="CF39" i="1"/>
  <c r="CD39" i="1"/>
  <c r="CB39" i="1"/>
  <c r="BZ39" i="1"/>
  <c r="BX39" i="1"/>
  <c r="BV39" i="1"/>
  <c r="BT39" i="1"/>
  <c r="BR39" i="1"/>
  <c r="BP39" i="1"/>
  <c r="BN39" i="1"/>
  <c r="BL39" i="1"/>
  <c r="BJ39" i="1"/>
  <c r="BH39" i="1"/>
  <c r="BF39" i="1"/>
  <c r="BD39" i="1"/>
  <c r="BB39" i="1"/>
  <c r="AZ39" i="1"/>
  <c r="AN39" i="1"/>
  <c r="AJ39" i="1"/>
  <c r="AI39" i="1"/>
  <c r="AG39" i="1"/>
  <c r="AE39" i="1"/>
  <c r="AC39" i="1"/>
  <c r="AA39" i="1"/>
  <c r="Y39" i="1"/>
  <c r="W39" i="1"/>
  <c r="U39" i="1"/>
  <c r="S39" i="1"/>
  <c r="Q39" i="1"/>
  <c r="O39" i="1"/>
  <c r="M39" i="1"/>
  <c r="K39" i="1"/>
  <c r="I39" i="1"/>
  <c r="G39" i="1"/>
  <c r="E39" i="1"/>
  <c r="C39" i="1"/>
  <c r="CL24" i="1"/>
  <c r="CG24" i="1"/>
  <c r="CE24" i="1"/>
  <c r="CC24" i="1"/>
  <c r="CA24" i="1"/>
  <c r="BY24" i="1"/>
  <c r="BW24" i="1"/>
  <c r="BU24" i="1"/>
  <c r="BS24" i="1"/>
  <c r="BQ24" i="1"/>
  <c r="BO24" i="1"/>
  <c r="BM24" i="1"/>
  <c r="BK24" i="1"/>
  <c r="BI24" i="1"/>
  <c r="BG24" i="1"/>
  <c r="BE24" i="1"/>
  <c r="BC24" i="1"/>
  <c r="BA24" i="1"/>
  <c r="AO24" i="1"/>
  <c r="AM24" i="1"/>
  <c r="AK24" i="1"/>
  <c r="AH24" i="1"/>
  <c r="AF24" i="1"/>
  <c r="AD24" i="1"/>
  <c r="AB24" i="1"/>
  <c r="Z24" i="1"/>
  <c r="X24" i="1"/>
  <c r="V24" i="1"/>
  <c r="T24" i="1"/>
  <c r="R24" i="1"/>
  <c r="P24" i="1"/>
  <c r="N24" i="1"/>
  <c r="L24" i="1"/>
  <c r="J24" i="1"/>
  <c r="H24" i="1"/>
  <c r="F24" i="1"/>
  <c r="D24" i="1"/>
  <c r="B24" i="1"/>
  <c r="CM24" i="1"/>
  <c r="CK24" i="1"/>
  <c r="CF24" i="1"/>
  <c r="CD24" i="1"/>
  <c r="CB24" i="1"/>
  <c r="BZ24" i="1"/>
  <c r="BX24" i="1"/>
  <c r="BV24" i="1"/>
  <c r="BT24" i="1"/>
  <c r="BR24" i="1"/>
  <c r="BP24" i="1"/>
  <c r="BN24" i="1"/>
  <c r="BL24" i="1"/>
  <c r="BJ24" i="1"/>
  <c r="BH24" i="1"/>
  <c r="BF24" i="1"/>
  <c r="BD24" i="1"/>
  <c r="BB24" i="1"/>
  <c r="AZ24" i="1"/>
  <c r="AN24" i="1"/>
  <c r="AJ24" i="1"/>
  <c r="AI24" i="1"/>
  <c r="AG24" i="1"/>
  <c r="AE24" i="1"/>
  <c r="AC24" i="1"/>
  <c r="AA24" i="1"/>
  <c r="Y24" i="1"/>
  <c r="W24" i="1"/>
  <c r="U24" i="1"/>
  <c r="S24" i="1"/>
  <c r="Q24" i="1"/>
  <c r="O24" i="1"/>
  <c r="M24" i="1"/>
  <c r="K24" i="1"/>
  <c r="I24" i="1"/>
  <c r="G24" i="1"/>
  <c r="E24" i="1"/>
  <c r="C24" i="1"/>
  <c r="N53" i="5"/>
  <c r="J53" i="5"/>
  <c r="O53" i="5"/>
  <c r="N39" i="5"/>
  <c r="L39" i="5"/>
  <c r="S39" i="5"/>
  <c r="O39" i="5"/>
  <c r="G39" i="5"/>
  <c r="E39" i="5"/>
  <c r="D24" i="5"/>
  <c r="S24" i="5"/>
  <c r="C53" i="4"/>
  <c r="E53" i="4"/>
  <c r="G53" i="4"/>
  <c r="W53" i="4"/>
  <c r="H53" i="4"/>
  <c r="J53" i="4"/>
  <c r="P53" i="4"/>
  <c r="R53" i="4"/>
  <c r="AF53" i="4"/>
  <c r="AM53" i="4"/>
  <c r="X39" i="4"/>
  <c r="J39" i="4"/>
  <c r="C6" i="4"/>
  <c r="W39" i="4"/>
  <c r="U39" i="4"/>
  <c r="O39" i="4"/>
  <c r="K39" i="4"/>
  <c r="AH24" i="4"/>
  <c r="Z24" i="4"/>
  <c r="J24" i="4"/>
  <c r="H24" i="4"/>
  <c r="AN24" i="4"/>
  <c r="AG24" i="4"/>
  <c r="U24" i="4"/>
  <c r="O24" i="4"/>
  <c r="CI39" i="1" l="1"/>
  <c r="C53" i="1"/>
  <c r="F53" i="5"/>
  <c r="M39" i="5"/>
  <c r="V39" i="4"/>
  <c r="K53" i="4"/>
  <c r="Q53" i="4"/>
  <c r="AB39" i="4"/>
  <c r="X24" i="4"/>
  <c r="AG39" i="4"/>
  <c r="AF39" i="4"/>
  <c r="M24" i="5"/>
  <c r="CJ39" i="1"/>
  <c r="E24" i="4"/>
  <c r="L39" i="4"/>
  <c r="CJ53" i="1"/>
  <c r="CJ24" i="1"/>
  <c r="CM39" i="1"/>
  <c r="AL24" i="4"/>
  <c r="F39" i="4"/>
  <c r="E53" i="5"/>
  <c r="AE39" i="4"/>
  <c r="AD39" i="4"/>
  <c r="C24" i="5"/>
  <c r="L53" i="5"/>
  <c r="N24" i="4"/>
  <c r="N39" i="4"/>
  <c r="Z53" i="4"/>
  <c r="H24" i="5"/>
  <c r="I53" i="5"/>
  <c r="AE24" i="4"/>
  <c r="R24" i="4"/>
  <c r="G39" i="4"/>
  <c r="AN39" i="4"/>
  <c r="AM39" i="4"/>
  <c r="V53" i="4"/>
  <c r="AL53" i="4"/>
  <c r="M53" i="4"/>
  <c r="I24" i="5"/>
  <c r="H39" i="5"/>
  <c r="M53" i="5"/>
  <c r="CH39" i="1"/>
  <c r="AD24" i="4"/>
  <c r="AH53" i="4"/>
  <c r="AC53" i="4"/>
  <c r="I39" i="5"/>
  <c r="P39" i="5"/>
  <c r="H53" i="5"/>
  <c r="CH24" i="1"/>
  <c r="R6" i="5"/>
  <c r="F24" i="5"/>
  <c r="G53" i="5"/>
  <c r="F53" i="4"/>
  <c r="E24" i="5"/>
  <c r="CL6" i="1"/>
  <c r="P24" i="4"/>
  <c r="G24" i="5"/>
  <c r="L24" i="5"/>
  <c r="F39" i="5"/>
  <c r="K53" i="5"/>
  <c r="AO3" i="9"/>
  <c r="AO39" i="4"/>
  <c r="P24" i="5"/>
  <c r="P53" i="5"/>
  <c r="AL24" i="1"/>
  <c r="AL39" i="1"/>
  <c r="AL53" i="1"/>
  <c r="B24" i="5"/>
  <c r="AP24" i="4"/>
  <c r="Y39" i="4"/>
  <c r="AK53" i="4"/>
  <c r="AJ24" i="4"/>
  <c r="AA53" i="4"/>
  <c r="R39" i="5"/>
  <c r="M24" i="4"/>
  <c r="AC24" i="4"/>
  <c r="AK24" i="4"/>
  <c r="D39" i="4"/>
  <c r="T39" i="4"/>
  <c r="AJ39" i="4"/>
  <c r="AP53" i="4"/>
  <c r="Y53" i="4"/>
  <c r="I53" i="4"/>
  <c r="K24" i="5"/>
  <c r="D39" i="5"/>
  <c r="C53" i="5"/>
  <c r="S53" i="5"/>
  <c r="CI6" i="1"/>
  <c r="I39" i="4"/>
  <c r="AA24" i="4"/>
  <c r="D53" i="4"/>
  <c r="B39" i="5"/>
  <c r="J24" i="5"/>
  <c r="B53" i="5"/>
  <c r="R53" i="5"/>
  <c r="Q39" i="5"/>
  <c r="T53" i="4"/>
  <c r="Q24" i="4"/>
  <c r="K39" i="5"/>
  <c r="O6" i="5"/>
  <c r="AP39" i="4"/>
  <c r="C39" i="5"/>
  <c r="Q53" i="5"/>
  <c r="AO24" i="4"/>
  <c r="D53" i="5"/>
  <c r="S24" i="4"/>
  <c r="AI24" i="4"/>
  <c r="L24" i="4"/>
  <c r="AB24" i="4"/>
  <c r="S39" i="4"/>
  <c r="AI39" i="4"/>
  <c r="Q24" i="5"/>
  <c r="N24" i="5"/>
  <c r="J39" i="5"/>
  <c r="AJ3" i="9"/>
  <c r="D6" i="4"/>
  <c r="C3" i="9"/>
  <c r="F6" i="4"/>
  <c r="E3" i="9"/>
  <c r="H6" i="4"/>
  <c r="G3" i="9"/>
  <c r="J6" i="4"/>
  <c r="I3" i="9"/>
  <c r="L6" i="4"/>
  <c r="K3" i="9"/>
  <c r="N6" i="4"/>
  <c r="M3" i="9"/>
  <c r="P6" i="4"/>
  <c r="O3" i="9"/>
  <c r="R6" i="4"/>
  <c r="Q3" i="9"/>
  <c r="T6" i="4"/>
  <c r="S3" i="9"/>
  <c r="V6" i="4"/>
  <c r="U3" i="9"/>
  <c r="X6" i="4"/>
  <c r="W3" i="9"/>
  <c r="Z6" i="4"/>
  <c r="Y3" i="9"/>
  <c r="AB6" i="4"/>
  <c r="AA3" i="9"/>
  <c r="AD6" i="4"/>
  <c r="AC3" i="9"/>
  <c r="AF6" i="4"/>
  <c r="AE3" i="9"/>
  <c r="AH6" i="4"/>
  <c r="AG3" i="9"/>
  <c r="AJ6" i="4"/>
  <c r="AI3" i="9"/>
  <c r="AL6" i="4"/>
  <c r="AK3" i="9"/>
  <c r="AN6" i="4"/>
  <c r="AM3" i="9"/>
  <c r="C24" i="4"/>
  <c r="B3" i="9"/>
  <c r="AA6" i="4"/>
  <c r="Z3" i="9"/>
  <c r="AE6" i="4"/>
  <c r="AD3" i="9"/>
  <c r="AI6" i="4"/>
  <c r="AH3" i="9"/>
  <c r="AM6" i="4"/>
  <c r="AL3" i="9"/>
  <c r="AO6" i="4"/>
  <c r="AN3" i="9"/>
  <c r="E6" i="4"/>
  <c r="D3" i="9"/>
  <c r="G6" i="4"/>
  <c r="F3" i="9"/>
  <c r="I6" i="4"/>
  <c r="H3" i="9"/>
  <c r="K6" i="4"/>
  <c r="J3" i="9"/>
  <c r="M6" i="4"/>
  <c r="L3" i="9"/>
  <c r="O6" i="4"/>
  <c r="N3" i="9"/>
  <c r="Q6" i="4"/>
  <c r="P3" i="9"/>
  <c r="S6" i="4"/>
  <c r="R3" i="9"/>
  <c r="U6" i="4"/>
  <c r="T3" i="9"/>
  <c r="W6" i="4"/>
  <c r="V3" i="9"/>
  <c r="Y6" i="4"/>
  <c r="X3" i="9"/>
  <c r="AC6" i="4"/>
  <c r="AB3" i="9"/>
  <c r="AG6" i="4"/>
  <c r="AF3" i="9"/>
  <c r="AP6" i="4"/>
  <c r="AK6" i="4"/>
  <c r="CM6" i="1"/>
  <c r="CH6" i="1"/>
  <c r="C4" i="6"/>
  <c r="D4" i="6"/>
  <c r="D7" i="6"/>
  <c r="AF7" i="6"/>
  <c r="D8" i="6"/>
  <c r="AF8" i="6"/>
  <c r="C10" i="6"/>
  <c r="D10" i="6"/>
  <c r="AE10" i="6"/>
  <c r="AF10" i="6"/>
  <c r="C11" i="6"/>
  <c r="D11" i="6"/>
  <c r="AE11" i="6"/>
  <c r="AF11" i="6"/>
  <c r="D12" i="6"/>
  <c r="AE12" i="6"/>
  <c r="AF12" i="6"/>
  <c r="C13" i="6"/>
  <c r="D13" i="6"/>
  <c r="AE13" i="6"/>
  <c r="AF13" i="6"/>
  <c r="C14" i="6"/>
  <c r="D14" i="6"/>
  <c r="AE14" i="6"/>
  <c r="AF14" i="6"/>
  <c r="D15" i="6"/>
  <c r="AF15" i="6"/>
  <c r="C16" i="6"/>
  <c r="D16" i="6"/>
  <c r="AE16" i="6"/>
  <c r="AF16" i="6"/>
  <c r="D17" i="6"/>
  <c r="AE17" i="6"/>
  <c r="AF17" i="6"/>
  <c r="D18" i="6"/>
  <c r="AF18" i="6"/>
  <c r="C19" i="6"/>
  <c r="D19" i="6"/>
  <c r="AE19" i="6"/>
  <c r="AF19" i="6"/>
  <c r="C20" i="6"/>
  <c r="D20" i="6"/>
  <c r="AE20" i="6"/>
  <c r="AF20" i="6"/>
  <c r="D21" i="6"/>
  <c r="AE21" i="6"/>
  <c r="AF21" i="6"/>
  <c r="D22" i="6"/>
  <c r="AF22" i="6"/>
  <c r="F4" i="7"/>
  <c r="H4" i="7"/>
  <c r="I4" i="7"/>
  <c r="I7" i="7"/>
  <c r="BF7" i="7"/>
  <c r="BG7" i="7"/>
  <c r="BH7" i="7"/>
  <c r="BI7" i="7"/>
  <c r="BJ7" i="7"/>
  <c r="BK7" i="7"/>
  <c r="BL7" i="7"/>
  <c r="BM7" i="7"/>
  <c r="BN7" i="7"/>
  <c r="I8" i="7"/>
  <c r="BF8" i="7"/>
  <c r="BG8" i="7"/>
  <c r="BH8" i="7"/>
  <c r="BI8" i="7"/>
  <c r="BJ8" i="7"/>
  <c r="BK8" i="7"/>
  <c r="BL8" i="7"/>
  <c r="BM8" i="7"/>
  <c r="BN8" i="7"/>
  <c r="BF9" i="7"/>
  <c r="BG9" i="7"/>
  <c r="BH9" i="7"/>
  <c r="BI9" i="7"/>
  <c r="BJ9" i="7"/>
  <c r="BK9" i="7"/>
  <c r="BL9" i="7"/>
  <c r="BM9" i="7"/>
  <c r="BN9" i="7"/>
  <c r="H10" i="7"/>
  <c r="I10" i="7"/>
  <c r="BF10" i="7"/>
  <c r="BG10" i="7"/>
  <c r="BH10" i="7"/>
  <c r="BI10" i="7"/>
  <c r="BJ10" i="7"/>
  <c r="BK10" i="7"/>
  <c r="BL10" i="7"/>
  <c r="BM10" i="7"/>
  <c r="BN10" i="7"/>
  <c r="F11" i="7"/>
  <c r="H11" i="7"/>
  <c r="I11" i="7"/>
  <c r="BF11" i="7"/>
  <c r="BG11" i="7"/>
  <c r="BH11" i="7"/>
  <c r="BI11" i="7"/>
  <c r="BJ11" i="7"/>
  <c r="BK11" i="7"/>
  <c r="BL11" i="7"/>
  <c r="BM11" i="7"/>
  <c r="BN11" i="7"/>
  <c r="I12" i="7"/>
  <c r="BF12" i="7"/>
  <c r="BG12" i="7"/>
  <c r="BH12" i="7"/>
  <c r="BI12" i="7"/>
  <c r="BJ12" i="7"/>
  <c r="BK12" i="7"/>
  <c r="BL12" i="7"/>
  <c r="BM12" i="7"/>
  <c r="BN12" i="7"/>
  <c r="H13" i="7"/>
  <c r="I13" i="7"/>
  <c r="BF13" i="7"/>
  <c r="BG13" i="7"/>
  <c r="BH13" i="7"/>
  <c r="BI13" i="7"/>
  <c r="BJ13" i="7"/>
  <c r="BK13" i="7"/>
  <c r="BL13" i="7"/>
  <c r="BM13" i="7"/>
  <c r="BN13" i="7"/>
  <c r="F14" i="7"/>
  <c r="H14" i="7"/>
  <c r="I14" i="7"/>
  <c r="BF14" i="7"/>
  <c r="BG14" i="7"/>
  <c r="BH14" i="7"/>
  <c r="BI14" i="7"/>
  <c r="BJ14" i="7"/>
  <c r="BK14" i="7"/>
  <c r="BL14" i="7"/>
  <c r="BM14" i="7"/>
  <c r="BN14" i="7"/>
  <c r="F15" i="7"/>
  <c r="I15" i="7"/>
  <c r="BF15" i="7"/>
  <c r="BG15" i="7"/>
  <c r="BH15" i="7"/>
  <c r="BI15" i="7"/>
  <c r="BJ15" i="7"/>
  <c r="BK15" i="7"/>
  <c r="BL15" i="7"/>
  <c r="BM15" i="7"/>
  <c r="BN15" i="7"/>
  <c r="H16" i="7"/>
  <c r="I16" i="7"/>
  <c r="BF16" i="7"/>
  <c r="BG16" i="7"/>
  <c r="BH16" i="7"/>
  <c r="BI16" i="7"/>
  <c r="BJ16" i="7"/>
  <c r="BK16" i="7"/>
  <c r="BL16" i="7"/>
  <c r="BM16" i="7"/>
  <c r="BN16" i="7"/>
  <c r="I17" i="7"/>
  <c r="BF17" i="7"/>
  <c r="BG17" i="7"/>
  <c r="BH17" i="7"/>
  <c r="BI17" i="7"/>
  <c r="BJ17" i="7"/>
  <c r="BK17" i="7"/>
  <c r="BL17" i="7"/>
  <c r="BM17" i="7"/>
  <c r="BN17" i="7"/>
  <c r="H18" i="7"/>
  <c r="I18" i="7"/>
  <c r="BF18" i="7"/>
  <c r="BG18" i="7"/>
  <c r="BH18" i="7"/>
  <c r="BI18" i="7"/>
  <c r="BJ18" i="7"/>
  <c r="BK18" i="7"/>
  <c r="BL18" i="7"/>
  <c r="BM18" i="7"/>
  <c r="BN18" i="7"/>
  <c r="F19" i="7"/>
  <c r="H19" i="7"/>
  <c r="I19" i="7"/>
  <c r="BF19" i="7"/>
  <c r="BG19" i="7"/>
  <c r="BH19" i="7"/>
  <c r="BI19" i="7"/>
  <c r="BJ19" i="7"/>
  <c r="BK19" i="7"/>
  <c r="BL19" i="7"/>
  <c r="BM19" i="7"/>
  <c r="BN19" i="7"/>
  <c r="F20" i="7"/>
  <c r="H20" i="7"/>
  <c r="I20" i="7"/>
  <c r="BF20" i="7"/>
  <c r="BG20" i="7"/>
  <c r="BH20" i="7"/>
  <c r="BI20" i="7"/>
  <c r="BJ20" i="7"/>
  <c r="BK20" i="7"/>
  <c r="BL20" i="7"/>
  <c r="BM20" i="7"/>
  <c r="BN20" i="7"/>
  <c r="I21" i="7"/>
  <c r="BF21" i="7"/>
  <c r="BG21" i="7"/>
  <c r="BH21" i="7"/>
  <c r="BI21" i="7"/>
  <c r="BJ21" i="7"/>
  <c r="BK21" i="7"/>
  <c r="BL21" i="7"/>
  <c r="BM21" i="7"/>
  <c r="BN21" i="7"/>
  <c r="I22" i="7"/>
  <c r="BF22" i="7"/>
  <c r="BG22" i="7"/>
  <c r="BH22" i="7"/>
  <c r="BI22" i="7"/>
  <c r="BJ22" i="7"/>
  <c r="BK22" i="7"/>
  <c r="BL22" i="7"/>
  <c r="BM22" i="7"/>
  <c r="BN22" i="7"/>
  <c r="BF25" i="7"/>
  <c r="BG25" i="7"/>
  <c r="BH25" i="7"/>
  <c r="BI25" i="7"/>
  <c r="BJ25" i="7"/>
  <c r="BK25" i="7"/>
  <c r="BL25" i="7"/>
  <c r="BM25" i="7"/>
  <c r="BN25" i="7"/>
  <c r="BF26" i="7"/>
  <c r="BG26" i="7"/>
  <c r="BH26" i="7"/>
  <c r="BI26" i="7"/>
  <c r="BJ26" i="7"/>
  <c r="BK26" i="7"/>
  <c r="BL26" i="7"/>
  <c r="BM26" i="7"/>
  <c r="BN26" i="7"/>
  <c r="BF27" i="7"/>
  <c r="BG27" i="7"/>
  <c r="BH27" i="7"/>
  <c r="BI27" i="7"/>
  <c r="BJ27" i="7"/>
  <c r="BK27" i="7"/>
  <c r="BL27" i="7"/>
  <c r="BM27" i="7"/>
  <c r="BN27" i="7"/>
  <c r="BF28" i="7"/>
  <c r="BG28" i="7"/>
  <c r="BH28" i="7"/>
  <c r="BI28" i="7"/>
  <c r="BJ28" i="7"/>
  <c r="BK28" i="7"/>
  <c r="BL28" i="7"/>
  <c r="BM28" i="7"/>
  <c r="BN28" i="7"/>
  <c r="BF54" i="7"/>
  <c r="BG54" i="7"/>
  <c r="BH54" i="7"/>
  <c r="BI54" i="7"/>
  <c r="BJ54" i="7"/>
  <c r="BK54" i="7"/>
  <c r="BL54" i="7"/>
  <c r="BM54" i="7"/>
  <c r="BN54" i="7"/>
  <c r="BF29" i="7"/>
  <c r="BG29" i="7"/>
  <c r="BH29" i="7"/>
  <c r="BI29" i="7"/>
  <c r="BJ29" i="7"/>
  <c r="BK29" i="7"/>
  <c r="BL29" i="7"/>
  <c r="BM29" i="7"/>
  <c r="BN29" i="7"/>
  <c r="BF30" i="7"/>
  <c r="BG30" i="7"/>
  <c r="BH30" i="7"/>
  <c r="BI30" i="7"/>
  <c r="BJ30" i="7"/>
  <c r="BK30" i="7"/>
  <c r="BL30" i="7"/>
  <c r="BM30" i="7"/>
  <c r="BN30" i="7"/>
  <c r="BF40" i="7"/>
  <c r="BG40" i="7"/>
  <c r="BH40" i="7"/>
  <c r="BI40" i="7"/>
  <c r="BJ40" i="7"/>
  <c r="BK40" i="7"/>
  <c r="BL40" i="7"/>
  <c r="BM40" i="7"/>
  <c r="BN40" i="7"/>
  <c r="BF41" i="7"/>
  <c r="BG41" i="7"/>
  <c r="BH41" i="7"/>
  <c r="BI41" i="7"/>
  <c r="BJ41" i="7"/>
  <c r="BK41" i="7"/>
  <c r="BL41" i="7"/>
  <c r="BM41" i="7"/>
  <c r="BN41" i="7"/>
  <c r="BF42" i="7"/>
  <c r="BG42" i="7"/>
  <c r="BH42" i="7"/>
  <c r="BI42" i="7"/>
  <c r="BJ42" i="7"/>
  <c r="BK42" i="7"/>
  <c r="BL42" i="7"/>
  <c r="BM42" i="7"/>
  <c r="BN42" i="7"/>
  <c r="BF43" i="7"/>
  <c r="BG43" i="7"/>
  <c r="BH43" i="7"/>
  <c r="BI43" i="7"/>
  <c r="BJ43" i="7"/>
  <c r="BK43" i="7"/>
  <c r="BL43" i="7"/>
  <c r="BM43" i="7"/>
  <c r="BN43" i="7"/>
  <c r="BF55" i="7"/>
  <c r="BG55" i="7"/>
  <c r="BH55" i="7"/>
  <c r="BI55" i="7"/>
  <c r="BJ55" i="7"/>
  <c r="BK55" i="7"/>
  <c r="BL55" i="7"/>
  <c r="BM55" i="7"/>
  <c r="BN55" i="7"/>
  <c r="BF56" i="7"/>
  <c r="BG56" i="7"/>
  <c r="BH56" i="7"/>
  <c r="BI56" i="7"/>
  <c r="BJ56" i="7"/>
  <c r="BK56" i="7"/>
  <c r="BL56" i="7"/>
  <c r="BM56" i="7"/>
  <c r="BN56" i="7"/>
  <c r="BF44" i="7"/>
  <c r="BG44" i="7"/>
  <c r="BH44" i="7"/>
  <c r="BI44" i="7"/>
  <c r="BJ44" i="7"/>
  <c r="BK44" i="7"/>
  <c r="BL44" i="7"/>
  <c r="BM44" i="7"/>
  <c r="BN44" i="7"/>
  <c r="BF45" i="7"/>
  <c r="BG45" i="7"/>
  <c r="BH45" i="7"/>
  <c r="BI45" i="7"/>
  <c r="BJ45" i="7"/>
  <c r="BK45" i="7"/>
  <c r="BL45" i="7"/>
  <c r="BM45" i="7"/>
  <c r="BN45" i="7"/>
  <c r="BF46" i="7"/>
  <c r="BG46" i="7"/>
  <c r="BH46" i="7"/>
  <c r="BI46" i="7"/>
  <c r="BJ46" i="7"/>
  <c r="BK46" i="7"/>
  <c r="BL46" i="7"/>
  <c r="BM46" i="7"/>
  <c r="BN46" i="7"/>
  <c r="BF31" i="7"/>
  <c r="BG31" i="7"/>
  <c r="BH31" i="7"/>
  <c r="BI31" i="7"/>
  <c r="BJ31" i="7"/>
  <c r="BK31" i="7"/>
  <c r="BL31" i="7"/>
  <c r="BM31" i="7"/>
  <c r="BN31" i="7"/>
  <c r="BF47" i="7"/>
  <c r="BG47" i="7"/>
  <c r="BH47" i="7"/>
  <c r="BI47" i="7"/>
  <c r="BJ47" i="7"/>
  <c r="BK47" i="7"/>
  <c r="BL47" i="7"/>
  <c r="BM47" i="7"/>
  <c r="BN47" i="7"/>
  <c r="BF32" i="7"/>
  <c r="BG32" i="7"/>
  <c r="BH32" i="7"/>
  <c r="BI32" i="7"/>
  <c r="BJ32" i="7"/>
  <c r="BK32" i="7"/>
  <c r="BL32" i="7"/>
  <c r="BM32" i="7"/>
  <c r="BN32" i="7"/>
  <c r="BF57" i="7"/>
  <c r="BG57" i="7"/>
  <c r="BH57" i="7"/>
  <c r="BI57" i="7"/>
  <c r="BJ57" i="7"/>
  <c r="BK57" i="7"/>
  <c r="BL57" i="7"/>
  <c r="BM57" i="7"/>
  <c r="BN57" i="7"/>
  <c r="BF58" i="7"/>
  <c r="BG58" i="7"/>
  <c r="BH58" i="7"/>
  <c r="BI58" i="7"/>
  <c r="BJ58" i="7"/>
  <c r="BK58" i="7"/>
  <c r="BL58" i="7"/>
  <c r="BM58" i="7"/>
  <c r="BN58" i="7"/>
  <c r="BF33" i="7"/>
  <c r="BG33" i="7"/>
  <c r="BH33" i="7"/>
  <c r="BI33" i="7"/>
  <c r="BJ33" i="7"/>
  <c r="BK33" i="7"/>
  <c r="BL33" i="7"/>
  <c r="BM33" i="7"/>
  <c r="BN33" i="7"/>
  <c r="BF59" i="7"/>
  <c r="BG59" i="7"/>
  <c r="BH59" i="7"/>
  <c r="BI59" i="7"/>
  <c r="BJ59" i="7"/>
  <c r="BK59" i="7"/>
  <c r="BL59" i="7"/>
  <c r="BM59" i="7"/>
  <c r="BN59" i="7"/>
  <c r="BF48" i="7"/>
  <c r="BG48" i="7"/>
  <c r="BH48" i="7"/>
  <c r="BI48" i="7"/>
  <c r="BJ48" i="7"/>
  <c r="BK48" i="7"/>
  <c r="BL48" i="7"/>
  <c r="BM48" i="7"/>
  <c r="BN48" i="7"/>
  <c r="BF49" i="7"/>
  <c r="BG49" i="7"/>
  <c r="BH49" i="7"/>
  <c r="BI49" i="7"/>
  <c r="BJ49" i="7"/>
  <c r="BK49" i="7"/>
  <c r="BL49" i="7"/>
  <c r="BM49" i="7"/>
  <c r="BN49" i="7"/>
  <c r="BF34" i="7"/>
  <c r="BG34" i="7"/>
  <c r="BH34" i="7"/>
  <c r="BI34" i="7"/>
  <c r="BJ34" i="7"/>
  <c r="BK34" i="7"/>
  <c r="BL34" i="7"/>
  <c r="BM34" i="7"/>
  <c r="BN34" i="7"/>
  <c r="BF60" i="7"/>
  <c r="BG60" i="7"/>
  <c r="BH60" i="7"/>
  <c r="BI60" i="7"/>
  <c r="BJ60" i="7"/>
  <c r="BK60" i="7"/>
  <c r="BL60" i="7"/>
  <c r="BM60" i="7"/>
  <c r="BN60" i="7"/>
  <c r="BF61" i="7"/>
  <c r="BG61" i="7"/>
  <c r="BH61" i="7"/>
  <c r="BI61" i="7"/>
  <c r="BJ61" i="7"/>
  <c r="BK61" i="7"/>
  <c r="BL61" i="7"/>
  <c r="BM61" i="7"/>
  <c r="BN61" i="7"/>
  <c r="BF50" i="7"/>
  <c r="BG50" i="7"/>
  <c r="BH50" i="7"/>
  <c r="BI50" i="7"/>
  <c r="BJ50" i="7"/>
  <c r="BK50" i="7"/>
  <c r="BL50" i="7"/>
  <c r="BM50" i="7"/>
  <c r="BN50" i="7"/>
  <c r="BF35" i="7"/>
  <c r="BG35" i="7"/>
  <c r="BH35" i="7"/>
  <c r="BI35" i="7"/>
  <c r="BJ35" i="7"/>
  <c r="BK35" i="7"/>
  <c r="BL35" i="7"/>
  <c r="BM35" i="7"/>
  <c r="BN35" i="7"/>
  <c r="BF62" i="7"/>
  <c r="BG62" i="7"/>
  <c r="BH62" i="7"/>
  <c r="BI62" i="7"/>
  <c r="BJ62" i="7"/>
  <c r="BK62" i="7"/>
  <c r="BL62" i="7"/>
  <c r="BM62" i="7"/>
  <c r="BN62" i="7"/>
  <c r="BF36" i="7"/>
  <c r="BG36" i="7"/>
  <c r="BH36" i="7"/>
  <c r="BI36" i="7"/>
  <c r="BJ36" i="7"/>
  <c r="BK36" i="7"/>
  <c r="BL36" i="7"/>
  <c r="BM36" i="7"/>
  <c r="BN36" i="7"/>
  <c r="BF51" i="7"/>
  <c r="BG51" i="7"/>
  <c r="BH51" i="7"/>
  <c r="BI51" i="7"/>
  <c r="BJ51" i="7"/>
  <c r="BK51" i="7"/>
  <c r="BL51" i="7"/>
  <c r="BM51" i="7"/>
  <c r="BN51" i="7"/>
  <c r="BF37" i="7"/>
  <c r="BG37" i="7"/>
  <c r="BH37" i="7"/>
  <c r="BI37" i="7"/>
  <c r="BJ37" i="7"/>
  <c r="BK37" i="7"/>
  <c r="BL37" i="7"/>
  <c r="BM37" i="7"/>
  <c r="BN37" i="7"/>
  <c r="BF63" i="7"/>
  <c r="BG63" i="7"/>
  <c r="BH63" i="7"/>
  <c r="BI63" i="7"/>
  <c r="BJ63" i="7"/>
  <c r="BK63" i="7"/>
  <c r="BL63" i="7"/>
  <c r="BM63" i="7"/>
  <c r="BN63" i="7"/>
  <c r="F4" i="8"/>
  <c r="H4" i="8"/>
  <c r="I4" i="8"/>
  <c r="F7" i="8"/>
  <c r="H7" i="8"/>
  <c r="I7" i="8"/>
  <c r="H8" i="8"/>
  <c r="I8" i="8"/>
  <c r="H10" i="8"/>
  <c r="I10" i="8"/>
  <c r="F11" i="8"/>
  <c r="H11" i="8"/>
  <c r="I11" i="8"/>
  <c r="H12" i="8"/>
  <c r="I12" i="8"/>
  <c r="H13" i="8"/>
  <c r="I13" i="8"/>
  <c r="F14" i="8"/>
  <c r="H14" i="8"/>
  <c r="I14" i="8"/>
  <c r="F15" i="8"/>
  <c r="H15" i="8"/>
  <c r="I15" i="8"/>
  <c r="H16" i="8"/>
  <c r="I16" i="8"/>
  <c r="H17" i="8"/>
  <c r="I17" i="8"/>
  <c r="H18" i="8"/>
  <c r="I18" i="8"/>
  <c r="F19" i="8"/>
  <c r="H19" i="8"/>
  <c r="I19" i="8"/>
  <c r="F20" i="8"/>
  <c r="H20" i="8"/>
  <c r="I20" i="8"/>
  <c r="H21" i="8"/>
  <c r="I21" i="8"/>
  <c r="H22" i="8"/>
  <c r="I22" i="8"/>
  <c r="BA4" i="4"/>
  <c r="BB4" i="4"/>
  <c r="BC4" i="4"/>
  <c r="BD4" i="4"/>
  <c r="BE4" i="4"/>
  <c r="BF4" i="4"/>
  <c r="BG4" i="4"/>
  <c r="BH4" i="4"/>
  <c r="BI4" i="4"/>
  <c r="BJ4" i="4"/>
  <c r="BK4" i="4"/>
  <c r="BL4" i="4"/>
  <c r="BA5" i="4"/>
  <c r="BB5" i="4"/>
  <c r="BC5" i="4"/>
  <c r="BD5" i="4"/>
  <c r="BE5" i="4"/>
  <c r="BF5" i="4"/>
  <c r="BG5" i="4"/>
  <c r="BH5" i="4"/>
  <c r="BI5" i="4"/>
  <c r="BJ5" i="4"/>
  <c r="BK5" i="4"/>
  <c r="BL5" i="4"/>
  <c r="C39" i="6" l="1"/>
  <c r="C24" i="6"/>
  <c r="C53" i="6"/>
  <c r="AE5" i="6"/>
  <c r="AE4" i="6" s="1"/>
  <c r="C5" i="6"/>
  <c r="C6" i="6" s="1"/>
  <c r="D5" i="6"/>
  <c r="D6" i="6" s="1"/>
  <c r="D24" i="6"/>
  <c r="D53" i="6"/>
  <c r="D39" i="6"/>
  <c r="AF5" i="6"/>
  <c r="AF4" i="6" s="1"/>
  <c r="H24" i="7"/>
  <c r="H39" i="7"/>
  <c r="H53" i="7"/>
  <c r="F5" i="7"/>
  <c r="F6" i="7" s="1"/>
  <c r="I5" i="7"/>
  <c r="I6" i="7" s="1"/>
  <c r="I24" i="7"/>
  <c r="I39" i="7"/>
  <c r="I53" i="7"/>
  <c r="F53" i="7"/>
  <c r="F24" i="7"/>
  <c r="F39" i="7"/>
  <c r="H5" i="7"/>
  <c r="H6" i="7" s="1"/>
  <c r="BN38" i="7"/>
  <c r="BL38" i="7"/>
  <c r="BJ38" i="7"/>
  <c r="BH38" i="7"/>
  <c r="BF38" i="7"/>
  <c r="BM52" i="7"/>
  <c r="BK52" i="7"/>
  <c r="BI52" i="7"/>
  <c r="BG52" i="7"/>
  <c r="BM23" i="7"/>
  <c r="BK23" i="7"/>
  <c r="BI23" i="7"/>
  <c r="BG23" i="7"/>
  <c r="BN5" i="7"/>
  <c r="BL5" i="7"/>
  <c r="BJ5" i="7"/>
  <c r="BH5" i="7"/>
  <c r="BF5" i="7"/>
  <c r="BM38" i="7"/>
  <c r="BK38" i="7"/>
  <c r="BI38" i="7"/>
  <c r="BG38" i="7"/>
  <c r="BN52" i="7"/>
  <c r="BL52" i="7"/>
  <c r="BJ52" i="7"/>
  <c r="BH52" i="7"/>
  <c r="BF52" i="7"/>
  <c r="BN23" i="7"/>
  <c r="BL23" i="7"/>
  <c r="BJ23" i="7"/>
  <c r="BH23" i="7"/>
  <c r="BF23" i="7"/>
  <c r="BM5" i="7"/>
  <c r="BK5" i="7"/>
  <c r="BI5" i="7"/>
  <c r="BG5" i="7"/>
  <c r="I24" i="8"/>
  <c r="I39" i="8"/>
  <c r="I53" i="8"/>
  <c r="F53" i="8"/>
  <c r="F24" i="8"/>
  <c r="F39" i="8"/>
  <c r="H5" i="8"/>
  <c r="H6" i="8" s="1"/>
  <c r="H24" i="8"/>
  <c r="H39" i="8"/>
  <c r="H53" i="8"/>
  <c r="I5" i="8"/>
  <c r="I6" i="8" s="1"/>
  <c r="F5" i="8"/>
  <c r="F6" i="8" s="1"/>
  <c r="BI4" i="7" l="1"/>
  <c r="BI6" i="7" s="1"/>
  <c r="BM4" i="7"/>
  <c r="BM6" i="7" s="1"/>
  <c r="BH4" i="7"/>
  <c r="BH6" i="7" s="1"/>
  <c r="BL4" i="7"/>
  <c r="BL6" i="7" s="1"/>
  <c r="BG4" i="7"/>
  <c r="BG24" i="7" s="1"/>
  <c r="BK4" i="7"/>
  <c r="BK24" i="7" s="1"/>
  <c r="BF4" i="7"/>
  <c r="BF39" i="7" s="1"/>
  <c r="BJ4" i="7"/>
  <c r="BJ53" i="7" s="1"/>
  <c r="BN4" i="7"/>
  <c r="BN39" i="7" s="1"/>
  <c r="BH53" i="7" l="1"/>
  <c r="BG39" i="7"/>
  <c r="BJ24" i="7"/>
  <c r="BI39" i="7"/>
  <c r="BL24" i="7"/>
  <c r="BL39" i="7"/>
  <c r="BH39" i="7"/>
  <c r="BM53" i="7"/>
  <c r="BI53" i="7"/>
  <c r="BM24" i="7"/>
  <c r="BI24" i="7"/>
  <c r="BG53" i="7"/>
  <c r="BK39" i="7"/>
  <c r="BL53" i="7"/>
  <c r="BN24" i="7"/>
  <c r="BF24" i="7"/>
  <c r="BN6" i="7"/>
  <c r="BJ6" i="7"/>
  <c r="BF6" i="7"/>
  <c r="BK6" i="7"/>
  <c r="BG6" i="7"/>
  <c r="BJ39" i="7"/>
  <c r="BK53" i="7"/>
  <c r="BM39" i="7"/>
  <c r="BN53" i="7"/>
  <c r="BF53" i="7"/>
  <c r="BH24" i="7"/>
  <c r="B53" i="6" l="1"/>
  <c r="B6" i="6"/>
  <c r="B39" i="6"/>
  <c r="B24" i="6"/>
  <c r="G39" i="6"/>
  <c r="G53" i="6"/>
  <c r="G6" i="6"/>
  <c r="K53" i="6"/>
  <c r="K6" i="6"/>
  <c r="K39" i="6"/>
  <c r="O39" i="6"/>
  <c r="O53" i="6"/>
  <c r="O6" i="6"/>
  <c r="H53" i="6"/>
  <c r="H6" i="6"/>
  <c r="H39" i="6"/>
  <c r="L39" i="6"/>
  <c r="L53" i="6"/>
  <c r="L6" i="6"/>
  <c r="P53" i="6"/>
  <c r="P6" i="6"/>
  <c r="P39" i="6"/>
  <c r="E53" i="6"/>
  <c r="E6" i="6"/>
  <c r="E39" i="6"/>
  <c r="I39" i="6"/>
  <c r="I53" i="6"/>
  <c r="I6" i="6"/>
  <c r="M53" i="6"/>
  <c r="M6" i="6"/>
  <c r="M39" i="6"/>
  <c r="Q39" i="6"/>
  <c r="Q53" i="6"/>
  <c r="Q6" i="6"/>
  <c r="F53" i="6"/>
  <c r="F6" i="6"/>
  <c r="F39" i="6"/>
  <c r="J39" i="6"/>
  <c r="J53" i="6"/>
  <c r="J6" i="6"/>
  <c r="N53" i="6"/>
  <c r="N6" i="6"/>
  <c r="N39" i="6"/>
  <c r="R39" i="6"/>
  <c r="R53" i="6"/>
  <c r="R6" i="6"/>
  <c r="M24" i="6"/>
  <c r="J24" i="6"/>
  <c r="H24" i="6"/>
  <c r="N24" i="6"/>
  <c r="F24" i="6"/>
  <c r="Q24" i="6"/>
  <c r="O24" i="6"/>
  <c r="I24" i="6"/>
  <c r="K24" i="6"/>
  <c r="G24" i="6"/>
  <c r="P24" i="6"/>
  <c r="R24" i="6"/>
  <c r="L24" i="6"/>
  <c r="E24" i="6"/>
  <c r="AD39" i="6"/>
  <c r="AD53" i="6"/>
  <c r="AD6" i="6"/>
  <c r="AD24" i="6"/>
  <c r="AF39" i="6"/>
  <c r="AF53" i="6"/>
  <c r="AF6" i="6"/>
  <c r="AF24" i="6"/>
  <c r="AI53" i="6"/>
  <c r="AI6" i="6"/>
  <c r="AI39" i="6"/>
  <c r="AM39" i="6"/>
  <c r="AM53" i="6"/>
  <c r="AM6" i="6"/>
  <c r="AQ53" i="6"/>
  <c r="AQ6" i="6"/>
  <c r="AQ39" i="6"/>
  <c r="AH39" i="6"/>
  <c r="AH53" i="6"/>
  <c r="AH6" i="6"/>
  <c r="AL53" i="6"/>
  <c r="AL6" i="6"/>
  <c r="AL39" i="6"/>
  <c r="AP39" i="6"/>
  <c r="AP53" i="6"/>
  <c r="AP6" i="6"/>
  <c r="AT53" i="6"/>
  <c r="AT6" i="6"/>
  <c r="AT39" i="6"/>
  <c r="AG39" i="6"/>
  <c r="AG53" i="6"/>
  <c r="AG6" i="6"/>
  <c r="AK53" i="6"/>
  <c r="AK6" i="6"/>
  <c r="AK39" i="6"/>
  <c r="AO39" i="6"/>
  <c r="AO53" i="6"/>
  <c r="AO6" i="6"/>
  <c r="AS53" i="6"/>
  <c r="AS6" i="6"/>
  <c r="AS39" i="6"/>
  <c r="AJ39" i="6"/>
  <c r="AJ53" i="6"/>
  <c r="AJ6" i="6"/>
  <c r="AN53" i="6"/>
  <c r="AN6" i="6"/>
  <c r="AN39" i="6"/>
  <c r="AR39" i="6"/>
  <c r="AR53" i="6"/>
  <c r="AR6" i="6"/>
  <c r="AS24" i="6"/>
  <c r="AJ24" i="6"/>
  <c r="AM24" i="6"/>
  <c r="AL24" i="6"/>
  <c r="AT24" i="6"/>
  <c r="AG24" i="6"/>
  <c r="AO24" i="6"/>
  <c r="AR24" i="6"/>
  <c r="AH24" i="6"/>
  <c r="AI24" i="6"/>
  <c r="AN24" i="6"/>
  <c r="AK24" i="6"/>
  <c r="AQ24" i="6"/>
  <c r="AP24" i="6"/>
  <c r="AE53" i="6" l="1"/>
  <c r="AE6" i="6"/>
  <c r="AE39" i="6"/>
  <c r="AE24"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jennifer berg</author>
    <author>mperry</author>
  </authors>
  <commentList>
    <comment ref="C1" authorId="0" shapeId="0" xr:uid="{00000000-0006-0000-0100-000001000000}">
      <text>
        <r>
          <rPr>
            <b/>
            <sz val="8"/>
            <color indexed="81"/>
            <rFont val="Tahoma"/>
            <family val="2"/>
          </rPr>
          <t>SAME DATA IN NON-RESIDENT SHEET</t>
        </r>
      </text>
    </comment>
    <comment ref="AM3" authorId="1" shapeId="0" xr:uid="{00000000-0006-0000-0100-000002000000}">
      <text>
        <r>
          <rPr>
            <b/>
            <sz val="8"/>
            <color indexed="81"/>
            <rFont val="Tahoma"/>
            <family val="2"/>
          </rPr>
          <t>Excludes online-only institutions identified in 2010-11.</t>
        </r>
      </text>
    </comment>
    <comment ref="AR3" authorId="1" shapeId="0" xr:uid="{00000000-0006-0000-0100-000003000000}">
      <text>
        <r>
          <rPr>
            <b/>
            <sz val="8"/>
            <color indexed="81"/>
            <rFont val="Tahoma"/>
            <family val="2"/>
          </rPr>
          <t>Excludes online-only institutions identified in 2010-11.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mperry</author>
  </authors>
  <commentList>
    <comment ref="P3" authorId="0" shapeId="0" xr:uid="{00000000-0006-0000-0200-000001000000}">
      <text>
        <r>
          <rPr>
            <b/>
            <sz val="8"/>
            <color indexed="81"/>
            <rFont val="Tahoma"/>
            <family val="2"/>
          </rPr>
          <t>Excludes online-only institutions identified in 2010-11.</t>
        </r>
      </text>
    </comment>
    <comment ref="U3" authorId="0" shapeId="0" xr:uid="{00000000-0006-0000-0200-000002000000}">
      <text>
        <r>
          <rPr>
            <b/>
            <sz val="8"/>
            <color indexed="81"/>
            <rFont val="Tahoma"/>
            <family val="2"/>
          </rPr>
          <t>Excludes online-only institutions identified in 2010-11.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mperry</author>
  </authors>
  <commentList>
    <comment ref="AL3" authorId="0" shapeId="0" xr:uid="{00000000-0006-0000-0300-000001000000}">
      <text>
        <r>
          <rPr>
            <b/>
            <sz val="8"/>
            <color indexed="81"/>
            <rFont val="Tahoma"/>
            <family val="2"/>
          </rPr>
          <t>Excludes online-only institutions identified in 2010-11.</t>
        </r>
      </text>
    </comment>
    <comment ref="AQ3" authorId="0" shapeId="0" xr:uid="{00000000-0006-0000-0300-000002000000}">
      <text>
        <r>
          <rPr>
            <b/>
            <sz val="8"/>
            <color indexed="81"/>
            <rFont val="Tahoma"/>
            <family val="2"/>
          </rPr>
          <t>Excludes online-only institutions identified in 2010-11.</t>
        </r>
      </text>
    </comment>
    <comment ref="CJ3" authorId="0" shapeId="0" xr:uid="{00000000-0006-0000-0300-000003000000}">
      <text>
        <r>
          <rPr>
            <b/>
            <sz val="8"/>
            <color indexed="81"/>
            <rFont val="Tahoma"/>
            <family val="2"/>
          </rPr>
          <t>Excludes online-only institutions identified in 2010-11.</t>
        </r>
      </text>
    </comment>
    <comment ref="CO3" authorId="0" shapeId="0" xr:uid="{00000000-0006-0000-0300-000004000000}">
      <text>
        <r>
          <rPr>
            <b/>
            <sz val="8"/>
            <color indexed="81"/>
            <rFont val="Tahoma"/>
            <family val="2"/>
          </rPr>
          <t>Excludes online-only institutions identified in 2010-11.</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mperry</author>
  </authors>
  <commentList>
    <comment ref="U3" authorId="0" shapeId="0" xr:uid="{00000000-0006-0000-0400-000001000000}">
      <text>
        <r>
          <rPr>
            <b/>
            <sz val="8"/>
            <color indexed="81"/>
            <rFont val="Tahoma"/>
            <family val="2"/>
          </rPr>
          <t>Excludes online-only institutions identified in 2010-11.</t>
        </r>
      </text>
    </comment>
    <comment ref="Z3" authorId="0" shapeId="0" xr:uid="{00000000-0006-0000-0400-000002000000}">
      <text>
        <r>
          <rPr>
            <b/>
            <sz val="8"/>
            <color indexed="81"/>
            <rFont val="Tahoma"/>
            <family val="2"/>
          </rPr>
          <t>Excludes online-only institutions identified in 2010-11.</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mperry</author>
  </authors>
  <commentList>
    <comment ref="U3" authorId="0" shapeId="0" xr:uid="{00000000-0006-0000-0500-000001000000}">
      <text>
        <r>
          <rPr>
            <b/>
            <sz val="8"/>
            <color indexed="81"/>
            <rFont val="Tahoma"/>
            <family val="2"/>
          </rPr>
          <t>Excludes online-only institutions identified in 2010-11.</t>
        </r>
      </text>
    </comment>
    <comment ref="Z3" authorId="0" shapeId="0" xr:uid="{00000000-0006-0000-0500-000002000000}">
      <text>
        <r>
          <rPr>
            <b/>
            <sz val="8"/>
            <color indexed="81"/>
            <rFont val="Tahoma"/>
            <family val="2"/>
          </rPr>
          <t>Excludes online-only institutions identified in 2010-11.</t>
        </r>
      </text>
    </comment>
    <comment ref="BR3" authorId="0" shapeId="0" xr:uid="{00000000-0006-0000-0500-000003000000}">
      <text>
        <r>
          <rPr>
            <b/>
            <sz val="8"/>
            <color indexed="81"/>
            <rFont val="Tahoma"/>
            <family val="2"/>
          </rPr>
          <t>Excludes online-only institutions identified in 2010-11.</t>
        </r>
      </text>
    </comment>
    <comment ref="BW3" authorId="0" shapeId="0" xr:uid="{00000000-0006-0000-0500-000004000000}">
      <text>
        <r>
          <rPr>
            <b/>
            <sz val="8"/>
            <color indexed="81"/>
            <rFont val="Tahoma"/>
            <family val="2"/>
          </rPr>
          <t>Excludes online-only institutions identified in 2010-11.</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mperry</author>
  </authors>
  <commentList>
    <comment ref="P3" authorId="0" shapeId="0" xr:uid="{00000000-0006-0000-0600-000001000000}">
      <text>
        <r>
          <rPr>
            <b/>
            <sz val="8"/>
            <color indexed="81"/>
            <rFont val="Tahoma"/>
            <family val="2"/>
          </rPr>
          <t>Excludes online-only institutions identified in 2010-11.</t>
        </r>
      </text>
    </comment>
    <comment ref="U3" authorId="0" shapeId="0" xr:uid="{00000000-0006-0000-0600-000002000000}">
      <text>
        <r>
          <rPr>
            <b/>
            <sz val="8"/>
            <color indexed="81"/>
            <rFont val="Tahoma"/>
            <family val="2"/>
          </rPr>
          <t>Excludes online-only institutions identified in 2010-11.</t>
        </r>
      </text>
    </comment>
    <comment ref="AR3" authorId="0" shapeId="0" xr:uid="{00000000-0006-0000-0600-000003000000}">
      <text>
        <r>
          <rPr>
            <b/>
            <sz val="8"/>
            <color indexed="81"/>
            <rFont val="Tahoma"/>
            <family val="2"/>
          </rPr>
          <t>Excludes online-only institutions identified in 2010-11.</t>
        </r>
      </text>
    </comment>
    <comment ref="AW3" authorId="0" shapeId="0" xr:uid="{00000000-0006-0000-0600-000004000000}">
      <text>
        <r>
          <rPr>
            <b/>
            <sz val="8"/>
            <color indexed="81"/>
            <rFont val="Tahoma"/>
            <family val="2"/>
          </rPr>
          <t>Excludes online-only institutions identified in 2010-11.</t>
        </r>
      </text>
    </comment>
  </commentList>
</comments>
</file>

<file path=xl/sharedStrings.xml><?xml version="1.0" encoding="utf-8"?>
<sst xmlns="http://schemas.openxmlformats.org/spreadsheetml/2006/main" count="2149" uniqueCount="245">
  <si>
    <t>Men</t>
  </si>
  <si>
    <t>Women</t>
  </si>
  <si>
    <t>1960-61</t>
  </si>
  <si>
    <t>1970-71</t>
  </si>
  <si>
    <t>1972-73</t>
  </si>
  <si>
    <t>1974-75</t>
  </si>
  <si>
    <t>1976-77</t>
  </si>
  <si>
    <t>1978-79</t>
  </si>
  <si>
    <t>1980-81</t>
  </si>
  <si>
    <t>1981-82</t>
  </si>
  <si>
    <t>1986-87</t>
  </si>
  <si>
    <t>1988-89</t>
  </si>
  <si>
    <t>1989-90</t>
  </si>
  <si>
    <t>1991-92</t>
  </si>
  <si>
    <t>1993-94</t>
  </si>
  <si>
    <t>Alabama</t>
  </si>
  <si>
    <t>Arkansas</t>
  </si>
  <si>
    <t>Florida</t>
  </si>
  <si>
    <t>Georgia</t>
  </si>
  <si>
    <t>Kentucky</t>
  </si>
  <si>
    <t>Louisiana</t>
  </si>
  <si>
    <t>Maryland</t>
  </si>
  <si>
    <t>Mississippi</t>
  </si>
  <si>
    <t>North Carolina</t>
  </si>
  <si>
    <t>Oklahoma</t>
  </si>
  <si>
    <t>South Carolina</t>
  </si>
  <si>
    <t>Tennessee</t>
  </si>
  <si>
    <t>Texas</t>
  </si>
  <si>
    <t>Virginia</t>
  </si>
  <si>
    <t>West Virginia</t>
  </si>
  <si>
    <t>NCES,</t>
  </si>
  <si>
    <t>SREB</t>
  </si>
  <si>
    <t>Earned</t>
  </si>
  <si>
    <t>analysis of</t>
  </si>
  <si>
    <t>Degrees</t>
  </si>
  <si>
    <t>National</t>
  </si>
  <si>
    <t>Conferred</t>
  </si>
  <si>
    <t>Center for</t>
  </si>
  <si>
    <t>1960-61:</t>
  </si>
  <si>
    <t>Education</t>
  </si>
  <si>
    <t>1989-90.</t>
  </si>
  <si>
    <t>Bachelor's</t>
  </si>
  <si>
    <t>(11-16-92)</t>
  </si>
  <si>
    <t>Statistics</t>
  </si>
  <si>
    <t>and</t>
  </si>
  <si>
    <t>Higher</t>
  </si>
  <si>
    <t>(1963).</t>
  </si>
  <si>
    <t>Total</t>
  </si>
  <si>
    <t>1995-96</t>
  </si>
  <si>
    <t>Delaware</t>
  </si>
  <si>
    <t>SREB states</t>
  </si>
  <si>
    <t>Data</t>
  </si>
  <si>
    <t>of NCES</t>
  </si>
  <si>
    <t>1969-70</t>
  </si>
  <si>
    <t>1971-72</t>
  </si>
  <si>
    <t>1973-74</t>
  </si>
  <si>
    <t>1975-76</t>
  </si>
  <si>
    <t>1977-78</t>
  </si>
  <si>
    <t>1979-80</t>
  </si>
  <si>
    <t>1982-83</t>
  </si>
  <si>
    <t>1983-84</t>
  </si>
  <si>
    <t>1984-85</t>
  </si>
  <si>
    <t>1985-86</t>
  </si>
  <si>
    <t>1987-88</t>
  </si>
  <si>
    <t>1990-91</t>
  </si>
  <si>
    <t>1992-93</t>
  </si>
  <si>
    <t>1994-95</t>
  </si>
  <si>
    <t>Washington</t>
  </si>
  <si>
    <t>U.S. Department of Education, National Center for Education Statistics,</t>
  </si>
  <si>
    <r>
      <t>State Comparisons of Education Statistics: 1969-70 to 1996-97</t>
    </r>
    <r>
      <rPr>
        <sz val="10"/>
        <rFont val="Arial"/>
        <family val="2"/>
      </rPr>
      <t>, Table 75, pp. 190-192.</t>
    </r>
  </si>
  <si>
    <t>Washington D.C.: 1998.</t>
  </si>
  <si>
    <t>Total Doctoral degrees conferred</t>
  </si>
  <si>
    <t>Doctoral degrees conferred, by Gender</t>
  </si>
  <si>
    <t>SOURCE:</t>
  </si>
  <si>
    <t>SOURCE: (For 1969-70 to 1994-95)</t>
  </si>
  <si>
    <t>&amp; U.S. total is 50 states plus DC</t>
  </si>
  <si>
    <t>Note:  "--" indicates data not available or not applicable</t>
  </si>
  <si>
    <t>1996-97</t>
  </si>
  <si>
    <t>U.S. Dept.</t>
  </si>
  <si>
    <t>of Education,</t>
  </si>
  <si>
    <t>Statistics,</t>
  </si>
  <si>
    <t>Digest of</t>
  </si>
  <si>
    <t xml:space="preserve">1999, </t>
  </si>
  <si>
    <t>Table 251,</t>
  </si>
  <si>
    <t>pp. 288,</t>
  </si>
  <si>
    <t>D.C. : 2000.</t>
  </si>
  <si>
    <t>State</t>
  </si>
  <si>
    <t>Comparisons</t>
  </si>
  <si>
    <t>Statistics:</t>
  </si>
  <si>
    <t>1969-70 to</t>
  </si>
  <si>
    <t>Table 250,</t>
  </si>
  <si>
    <t>1994-95,</t>
  </si>
  <si>
    <t>pp. 287,</t>
  </si>
  <si>
    <t>Table 63,</t>
  </si>
  <si>
    <t>pp. 170,</t>
  </si>
  <si>
    <t>D.C. : 1998.</t>
  </si>
  <si>
    <t>Doctorates Degrees conferred in PUBLIC Institutions</t>
  </si>
  <si>
    <t xml:space="preserve">1998, </t>
  </si>
  <si>
    <t>Table 245,</t>
  </si>
  <si>
    <t>pp. 277,</t>
  </si>
  <si>
    <t>D.C. : 1999.</t>
  </si>
  <si>
    <t xml:space="preserve">SOURCE: </t>
  </si>
  <si>
    <t>NCES</t>
  </si>
  <si>
    <t>set of</t>
  </si>
  <si>
    <t>completions</t>
  </si>
  <si>
    <t>Doctoral Degrees</t>
  </si>
  <si>
    <t>1988-89.</t>
  </si>
  <si>
    <t>1984-85.</t>
  </si>
  <si>
    <t>1982-83.</t>
  </si>
  <si>
    <t>1980-81.</t>
  </si>
  <si>
    <t>1978-79.</t>
  </si>
  <si>
    <t>1976-77.</t>
  </si>
  <si>
    <t>tape of</t>
  </si>
  <si>
    <t>data</t>
  </si>
  <si>
    <t>analysis</t>
  </si>
  <si>
    <t>na</t>
  </si>
  <si>
    <t>Blacks, HBI</t>
  </si>
  <si>
    <t>Blacks, PBI</t>
  </si>
  <si>
    <t xml:space="preserve">  Blacks</t>
  </si>
  <si>
    <t>Blacks, PBI or HBI</t>
  </si>
  <si>
    <t>N-R Alien</t>
  </si>
  <si>
    <t>Hispanic</t>
  </si>
  <si>
    <t>Percent of Total</t>
  </si>
  <si>
    <t>1997-98</t>
  </si>
  <si>
    <t>Public Colleges</t>
  </si>
  <si>
    <t>Alaska</t>
  </si>
  <si>
    <t>Arizona</t>
  </si>
  <si>
    <t>California</t>
  </si>
  <si>
    <t>Colorado</t>
  </si>
  <si>
    <t>Connecticut</t>
  </si>
  <si>
    <t>District of Columbia</t>
  </si>
  <si>
    <t>Hawaii</t>
  </si>
  <si>
    <t>Iowa</t>
  </si>
  <si>
    <t>Idaho</t>
  </si>
  <si>
    <t>Illinois</t>
  </si>
  <si>
    <t>Indiana</t>
  </si>
  <si>
    <t>Kansas</t>
  </si>
  <si>
    <t>Massachusetts</t>
  </si>
  <si>
    <t>Maine</t>
  </si>
  <si>
    <t>Michigan</t>
  </si>
  <si>
    <t>Minnesota</t>
  </si>
  <si>
    <t>Missouri</t>
  </si>
  <si>
    <t>Montana</t>
  </si>
  <si>
    <t>North Dakota</t>
  </si>
  <si>
    <t>Nebraska</t>
  </si>
  <si>
    <t>New Hampshire</t>
  </si>
  <si>
    <t>New Jersey</t>
  </si>
  <si>
    <t>New Mexico</t>
  </si>
  <si>
    <t>Nevada</t>
  </si>
  <si>
    <t>New York</t>
  </si>
  <si>
    <t>Ohio</t>
  </si>
  <si>
    <t>Oregon</t>
  </si>
  <si>
    <t>Pennsylvania</t>
  </si>
  <si>
    <t>Rhode Island</t>
  </si>
  <si>
    <t>South Dakota</t>
  </si>
  <si>
    <t>Utah</t>
  </si>
  <si>
    <t>Vermont</t>
  </si>
  <si>
    <t>Wisconsin</t>
  </si>
  <si>
    <t>Wyoming</t>
  </si>
  <si>
    <t>1998-99</t>
  </si>
  <si>
    <t>1999-00</t>
  </si>
  <si>
    <t xml:space="preserve"> </t>
  </si>
  <si>
    <t xml:space="preserve">2000, </t>
  </si>
  <si>
    <t>2001,</t>
  </si>
  <si>
    <t>Table 249,</t>
  </si>
  <si>
    <t>www.nces.ed.gov</t>
  </si>
  <si>
    <t>Foreign Students</t>
  </si>
  <si>
    <t>2002-03</t>
  </si>
  <si>
    <t xml:space="preserve">SREB analysis </t>
  </si>
  <si>
    <t>of National</t>
  </si>
  <si>
    <t>Center  for</t>
  </si>
  <si>
    <t xml:space="preserve">Statistics </t>
  </si>
  <si>
    <t xml:space="preserve">surveys of </t>
  </si>
  <si>
    <t>degrees and</t>
  </si>
  <si>
    <t>other awards</t>
  </si>
  <si>
    <t>conferred</t>
  </si>
  <si>
    <t>(www.nces.ed.gov/ipeds).</t>
  </si>
  <si>
    <t>Women Students</t>
  </si>
  <si>
    <t>2003-04</t>
  </si>
  <si>
    <t>2004-05</t>
  </si>
  <si>
    <t>Percent Change</t>
  </si>
  <si>
    <t>2005-06</t>
  </si>
  <si>
    <t>2000-01</t>
  </si>
  <si>
    <t>2001-02</t>
  </si>
  <si>
    <t>Tom Mortenson and</t>
  </si>
  <si>
    <t>Nicole Brunt,</t>
  </si>
  <si>
    <t xml:space="preserve">spreadsheet on </t>
  </si>
  <si>
    <t>Degrees Conferred by Level</t>
  </si>
  <si>
    <t>of Degree, Gender and State</t>
  </si>
  <si>
    <t>1970 to 2006</t>
  </si>
  <si>
    <t>www.postsecondary.org</t>
  </si>
  <si>
    <t xml:space="preserve"> April 2008</t>
  </si>
  <si>
    <t>2006-07</t>
  </si>
  <si>
    <t>percent increase</t>
  </si>
  <si>
    <t>87-97</t>
  </si>
  <si>
    <t>88-98</t>
  </si>
  <si>
    <t>89-99</t>
  </si>
  <si>
    <t>90-00</t>
  </si>
  <si>
    <t>91-01</t>
  </si>
  <si>
    <t>92-02</t>
  </si>
  <si>
    <t>93-03</t>
  </si>
  <si>
    <t>94-04</t>
  </si>
  <si>
    <t>95-05</t>
  </si>
  <si>
    <t>96-06</t>
  </si>
  <si>
    <t>97-07</t>
  </si>
  <si>
    <t>2007-08</t>
  </si>
  <si>
    <t>98-08</t>
  </si>
  <si>
    <t>2008-09</t>
  </si>
  <si>
    <t>50 states and D.C.</t>
  </si>
  <si>
    <t xml:space="preserve">    as a percent of U.S.</t>
  </si>
  <si>
    <t>West</t>
  </si>
  <si>
    <t>Midwest</t>
  </si>
  <si>
    <t>Northeast</t>
  </si>
  <si>
    <t xml:space="preserve">   as a percent of U.S.</t>
  </si>
  <si>
    <t>IPEDS</t>
  </si>
  <si>
    <t>Completions</t>
  </si>
  <si>
    <t>Survey Data</t>
  </si>
  <si>
    <t>C2009</t>
  </si>
  <si>
    <r>
      <t>Black Students</t>
    </r>
    <r>
      <rPr>
        <vertAlign val="superscript"/>
        <sz val="10"/>
        <rFont val="Arial"/>
        <family val="2"/>
      </rPr>
      <t>2</t>
    </r>
  </si>
  <si>
    <r>
      <t>Hispanic Students</t>
    </r>
    <r>
      <rPr>
        <vertAlign val="superscript"/>
        <sz val="10"/>
        <rFont val="Arial"/>
        <family val="2"/>
      </rPr>
      <t>2</t>
    </r>
  </si>
  <si>
    <t>Percent at</t>
  </si>
  <si>
    <r>
      <t>Research and Scholarship Doctoral Degrees Awarded by Public and Private Colleges and Universities</t>
    </r>
    <r>
      <rPr>
        <vertAlign val="superscript"/>
        <sz val="10"/>
        <rFont val="Arial"/>
        <family val="2"/>
      </rPr>
      <t>1</t>
    </r>
  </si>
  <si>
    <t>2009-10</t>
  </si>
  <si>
    <t>2010-11</t>
  </si>
  <si>
    <t>2011-12</t>
  </si>
  <si>
    <t>C2012</t>
  </si>
  <si>
    <t>2012-13</t>
  </si>
  <si>
    <t>Source: SREB analysis of National Center for Education Statistics completions surveys — www.nces.ed.gov/ipeds.</t>
  </si>
  <si>
    <t>2013-14</t>
  </si>
  <si>
    <t>2014-15</t>
  </si>
  <si>
    <r>
      <rPr>
        <vertAlign val="superscript"/>
        <sz val="10"/>
        <color indexed="8"/>
        <rFont val="Arial"/>
        <family val="2"/>
      </rPr>
      <t>2</t>
    </r>
    <r>
      <rPr>
        <sz val="10"/>
        <color indexed="8"/>
        <rFont val="Arial"/>
        <family val="2"/>
      </rPr>
      <t xml:space="preserve"> Calculated based on a total that excludes students whose race is unknown and students from foreign countries.   </t>
    </r>
  </si>
  <si>
    <t>2015-16</t>
  </si>
  <si>
    <t>2016-17</t>
  </si>
  <si>
    <r>
      <rPr>
        <vertAlign val="superscript"/>
        <sz val="10"/>
        <rFont val="Arial"/>
        <family val="2"/>
      </rPr>
      <t>1</t>
    </r>
    <r>
      <rPr>
        <sz val="10"/>
        <rFont val="Arial"/>
        <family val="2"/>
      </rPr>
      <t xml:space="preserve"> Table shows degrees (in the first major) awarded by all degree-granting institutions eligible for federal Title IV student financial aid in the 50 states and D.C., excluding service schools and online-only colleges and universities.
</t>
    </r>
  </si>
  <si>
    <t>Table 57</t>
  </si>
  <si>
    <t>2017-18</t>
  </si>
  <si>
    <t>2018-19</t>
  </si>
  <si>
    <t>C2019</t>
  </si>
  <si>
    <t>2013-14 to</t>
  </si>
  <si>
    <t xml:space="preserve">  Apr 2021</t>
  </si>
  <si>
    <t>All Race/Ethnic Groups</t>
  </si>
  <si>
    <t>Women as % of Total Doctorate Degrees</t>
  </si>
  <si>
    <r>
      <t xml:space="preserve"> PBIs or HBCUs</t>
    </r>
    <r>
      <rPr>
        <vertAlign val="superscript"/>
        <sz val="10"/>
        <color indexed="8"/>
        <rFont val="Arial"/>
        <family val="2"/>
      </rPr>
      <t>3</t>
    </r>
  </si>
  <si>
    <t xml:space="preserve"> "NA" indicates not applicable. There was no institution of this type in the state during the specified years. </t>
  </si>
  <si>
    <r>
      <rPr>
        <vertAlign val="superscript"/>
        <sz val="10"/>
        <color indexed="8"/>
        <rFont val="Arial"/>
        <family val="2"/>
      </rPr>
      <t>3</t>
    </r>
    <r>
      <rPr>
        <sz val="10"/>
        <color indexed="8"/>
        <rFont val="Arial"/>
        <family val="2"/>
      </rPr>
      <t xml:space="preserve"> Predominantly Black Institutions (PBIs) are those in which Black students account for more than 50 percent of total fall enrollment. Historically Black Colleges and Universities (HBCUs) are those founded prior to 1964 as institutions for Black students. While an institution's PBI status may change from year to year, HBCU status will not.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</si>
</sst>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_)"/>
    <numFmt numFmtId="165" formatCode="#,##0.0"/>
    <numFmt numFmtId="166" formatCode="#,##0.0_);\(#,##0.0\)"/>
    <numFmt numFmtId="167" formatCode="0.0"/>
    <numFmt numFmtId="168" formatCode="0.0%"/>
  </numFmts>
  <fonts count="16">
    <font>
      <sz val="10"/>
      <name val="Helv"/>
    </font>
    <font>
      <sz val="10"/>
      <name val="AGaramond"/>
      <family val="3"/>
    </font>
    <font>
      <sz val="10"/>
      <name val="Arial"/>
      <family val="2"/>
    </font>
    <font>
      <i/>
      <sz val="10"/>
      <name val="Arial"/>
      <family val="2"/>
    </font>
    <font>
      <b/>
      <sz val="10"/>
      <name val="Arial"/>
      <family val="2"/>
    </font>
    <font>
      <b/>
      <sz val="8"/>
      <color indexed="81"/>
      <name val="Tahoma"/>
      <family val="2"/>
    </font>
    <font>
      <vertAlign val="superscript"/>
      <sz val="10"/>
      <name val="Arial"/>
      <family val="2"/>
    </font>
    <font>
      <vertAlign val="superscript"/>
      <sz val="10"/>
      <color indexed="8"/>
      <name val="Arial"/>
      <family val="2"/>
    </font>
    <font>
      <sz val="8"/>
      <name val="Helv"/>
    </font>
    <font>
      <sz val="10"/>
      <name val="Arial Narrow"/>
      <family val="2"/>
    </font>
    <font>
      <sz val="10"/>
      <color indexed="8"/>
      <name val="Arial"/>
      <family val="2"/>
    </font>
    <font>
      <sz val="10"/>
      <name val="Helv"/>
    </font>
    <font>
      <sz val="10"/>
      <color rgb="FF0000FF"/>
      <name val="Arial"/>
      <family val="2"/>
    </font>
    <font>
      <b/>
      <sz val="10"/>
      <color rgb="FFFF0000"/>
      <name val="Arial"/>
      <family val="2"/>
    </font>
    <font>
      <sz val="10"/>
      <color theme="0" tint="-0.34998626667073579"/>
      <name val="Arial"/>
      <family val="2"/>
    </font>
    <font>
      <b/>
      <sz val="10"/>
      <color theme="0" tint="-0.34998626667073579"/>
      <name val="Arial"/>
      <family val="2"/>
    </font>
  </fonts>
  <fills count="7">
    <fill>
      <patternFill patternType="none"/>
    </fill>
    <fill>
      <patternFill patternType="gray125"/>
    </fill>
    <fill>
      <patternFill patternType="solid">
        <fgColor indexed="45"/>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rgb="FF92D050"/>
        <bgColor indexed="64"/>
      </patternFill>
    </fill>
    <fill>
      <patternFill patternType="solid">
        <fgColor theme="8"/>
        <bgColor indexed="64"/>
      </patternFill>
    </fill>
  </fills>
  <borders count="30">
    <border>
      <left/>
      <right/>
      <top/>
      <bottom/>
      <diagonal/>
    </border>
    <border>
      <left/>
      <right style="thin">
        <color indexed="8"/>
      </right>
      <top/>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8"/>
      </right>
      <top/>
      <bottom style="thin">
        <color indexed="8"/>
      </bottom>
      <diagonal/>
    </border>
    <border>
      <left/>
      <right style="thin">
        <color indexed="8"/>
      </right>
      <top style="thin">
        <color indexed="8"/>
      </top>
      <bottom/>
      <diagonal/>
    </border>
    <border>
      <left/>
      <right/>
      <top/>
      <bottom style="thin">
        <color indexed="8"/>
      </bottom>
      <diagonal/>
    </border>
    <border>
      <left style="thin">
        <color indexed="8"/>
      </left>
      <right/>
      <top/>
      <bottom style="thin">
        <color indexed="8"/>
      </bottom>
      <diagonal/>
    </border>
    <border>
      <left/>
      <right/>
      <top style="thin">
        <color indexed="8"/>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64"/>
      </top>
      <bottom/>
      <diagonal/>
    </border>
    <border>
      <left style="thin">
        <color indexed="64"/>
      </left>
      <right/>
      <top style="thin">
        <color indexed="8"/>
      </top>
      <bottom/>
      <diagonal/>
    </border>
    <border>
      <left/>
      <right style="thin">
        <color indexed="64"/>
      </right>
      <top style="thin">
        <color indexed="8"/>
      </top>
      <bottom style="thin">
        <color indexed="8"/>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8"/>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8"/>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s>
  <cellStyleXfs count="5">
    <xf numFmtId="37" fontId="0" fillId="0" borderId="0"/>
    <xf numFmtId="9" fontId="1" fillId="0" borderId="0" applyFont="0" applyFill="0" applyBorder="0" applyAlignment="0" applyProtection="0"/>
    <xf numFmtId="0" fontId="11" fillId="0" borderId="0">
      <alignment horizontal="left" wrapText="1"/>
    </xf>
    <xf numFmtId="0" fontId="2" fillId="0" borderId="0"/>
    <xf numFmtId="43" fontId="1" fillId="0" borderId="0" applyFont="0" applyFill="0" applyBorder="0" applyAlignment="0" applyProtection="0"/>
  </cellStyleXfs>
  <cellXfs count="145">
    <xf numFmtId="37" fontId="0" fillId="0" borderId="0" xfId="0"/>
    <xf numFmtId="37" fontId="2" fillId="0" borderId="0" xfId="0" applyFont="1"/>
    <xf numFmtId="37" fontId="2" fillId="0" borderId="0" xfId="0" applyFont="1" applyAlignment="1">
      <alignment horizontal="centerContinuous"/>
    </xf>
    <xf numFmtId="37" fontId="2" fillId="0" borderId="0" xfId="0" applyFont="1" applyAlignment="1">
      <alignment horizontal="left"/>
    </xf>
    <xf numFmtId="37" fontId="2" fillId="0" borderId="0" xfId="0" applyFont="1" applyAlignment="1">
      <alignment horizontal="right"/>
    </xf>
    <xf numFmtId="3" fontId="2" fillId="0" borderId="0" xfId="0" applyNumberFormat="1" applyFont="1"/>
    <xf numFmtId="37" fontId="2" fillId="0" borderId="3" xfId="0" applyFont="1" applyBorder="1"/>
    <xf numFmtId="37" fontId="4" fillId="0" borderId="0" xfId="0" applyFont="1"/>
    <xf numFmtId="37" fontId="2" fillId="0" borderId="0" xfId="0" applyFont="1" applyAlignment="1">
      <alignment horizontal="fill"/>
    </xf>
    <xf numFmtId="37" fontId="3" fillId="0" borderId="0" xfId="0" applyFont="1"/>
    <xf numFmtId="165" fontId="2" fillId="0" borderId="0" xfId="1" applyNumberFormat="1" applyFont="1"/>
    <xf numFmtId="165" fontId="2" fillId="0" borderId="0" xfId="0" applyNumberFormat="1" applyFont="1"/>
    <xf numFmtId="37" fontId="2" fillId="0" borderId="0" xfId="0" applyFont="1" applyAlignment="1">
      <alignment wrapText="1"/>
    </xf>
    <xf numFmtId="37" fontId="2" fillId="0" borderId="9" xfId="0" applyFont="1" applyBorder="1" applyAlignment="1">
      <alignment horizontal="centerContinuous"/>
    </xf>
    <xf numFmtId="37" fontId="2" fillId="0" borderId="10" xfId="0" applyFont="1" applyBorder="1" applyAlignment="1">
      <alignment horizontal="centerContinuous"/>
    </xf>
    <xf numFmtId="37" fontId="2" fillId="0" borderId="11" xfId="0" applyFont="1" applyBorder="1" applyAlignment="1">
      <alignment horizontal="centerContinuous"/>
    </xf>
    <xf numFmtId="37" fontId="2" fillId="0" borderId="0" xfId="0" applyFont="1" applyAlignment="1">
      <alignment horizontal="center"/>
    </xf>
    <xf numFmtId="37" fontId="2" fillId="0" borderId="7" xfId="0" applyFont="1" applyBorder="1" applyAlignment="1">
      <alignment horizontal="centerContinuous"/>
    </xf>
    <xf numFmtId="37" fontId="10" fillId="0" borderId="7" xfId="0" quotePrefix="1" applyFont="1" applyBorder="1" applyAlignment="1">
      <alignment horizontal="centerContinuous"/>
    </xf>
    <xf numFmtId="37" fontId="10" fillId="0" borderId="5" xfId="0" quotePrefix="1" applyFont="1" applyBorder="1" applyAlignment="1">
      <alignment horizontal="centerContinuous"/>
    </xf>
    <xf numFmtId="37" fontId="2" fillId="0" borderId="8" xfId="0" applyFont="1" applyBorder="1" applyAlignment="1">
      <alignment horizontal="centerContinuous"/>
    </xf>
    <xf numFmtId="37" fontId="10" fillId="0" borderId="6" xfId="0" quotePrefix="1" applyFont="1" applyBorder="1" applyAlignment="1">
      <alignment horizontal="centerContinuous"/>
    </xf>
    <xf numFmtId="37" fontId="2" fillId="0" borderId="6" xfId="0" applyFont="1" applyBorder="1" applyAlignment="1">
      <alignment horizontal="center" wrapText="1"/>
    </xf>
    <xf numFmtId="37" fontId="2" fillId="0" borderId="13" xfId="0" applyFont="1" applyBorder="1"/>
    <xf numFmtId="9" fontId="2" fillId="0" borderId="0" xfId="1" applyFont="1"/>
    <xf numFmtId="3" fontId="2" fillId="0" borderId="3" xfId="2" applyNumberFormat="1" applyFont="1" applyBorder="1" applyAlignment="1"/>
    <xf numFmtId="3" fontId="2" fillId="0" borderId="0" xfId="2" applyNumberFormat="1" applyFont="1" applyAlignment="1"/>
    <xf numFmtId="3" fontId="2" fillId="3" borderId="0" xfId="2" applyNumberFormat="1" applyFont="1" applyFill="1" applyAlignment="1"/>
    <xf numFmtId="3" fontId="2" fillId="3" borderId="3" xfId="2" applyNumberFormat="1" applyFont="1" applyFill="1" applyBorder="1" applyAlignment="1"/>
    <xf numFmtId="3" fontId="2" fillId="0" borderId="12" xfId="2" applyNumberFormat="1" applyFont="1" applyBorder="1" applyAlignment="1"/>
    <xf numFmtId="3" fontId="2" fillId="3" borderId="2" xfId="2" applyNumberFormat="1" applyFont="1" applyFill="1" applyBorder="1" applyAlignment="1"/>
    <xf numFmtId="37" fontId="4" fillId="0" borderId="2" xfId="0" applyFont="1" applyBorder="1" applyAlignment="1">
      <alignment horizontal="right"/>
    </xf>
    <xf numFmtId="37" fontId="4" fillId="0" borderId="3" xfId="0" applyFont="1" applyBorder="1"/>
    <xf numFmtId="37" fontId="4" fillId="0" borderId="7" xfId="0" applyFont="1" applyBorder="1"/>
    <xf numFmtId="37" fontId="4" fillId="0" borderId="7" xfId="0" applyFont="1" applyBorder="1" applyAlignment="1">
      <alignment horizontal="right"/>
    </xf>
    <xf numFmtId="37" fontId="2" fillId="0" borderId="2" xfId="2" applyNumberFormat="1" applyFont="1" applyBorder="1" applyAlignment="1"/>
    <xf numFmtId="3" fontId="12" fillId="0" borderId="2" xfId="2" applyNumberFormat="1" applyFont="1" applyBorder="1" applyAlignment="1"/>
    <xf numFmtId="37" fontId="2" fillId="0" borderId="0" xfId="2" applyNumberFormat="1" applyFont="1" applyAlignment="1"/>
    <xf numFmtId="3" fontId="12" fillId="0" borderId="12" xfId="4" applyNumberFormat="1" applyFont="1" applyBorder="1"/>
    <xf numFmtId="167" fontId="2" fillId="0" borderId="0" xfId="2" applyNumberFormat="1" applyFont="1" applyAlignment="1"/>
    <xf numFmtId="167" fontId="12" fillId="0" borderId="0" xfId="2" applyNumberFormat="1" applyFont="1" applyAlignment="1"/>
    <xf numFmtId="3" fontId="2" fillId="0" borderId="0" xfId="4" applyNumberFormat="1" applyFont="1"/>
    <xf numFmtId="37" fontId="2" fillId="0" borderId="3" xfId="2" applyNumberFormat="1" applyFont="1" applyBorder="1" applyAlignment="1"/>
    <xf numFmtId="3" fontId="2" fillId="0" borderId="3" xfId="4" applyNumberFormat="1" applyFont="1" applyBorder="1"/>
    <xf numFmtId="3" fontId="2" fillId="0" borderId="2" xfId="4" applyNumberFormat="1" applyFont="1" applyBorder="1"/>
    <xf numFmtId="0" fontId="2" fillId="0" borderId="2" xfId="2" applyFont="1" applyBorder="1" applyAlignment="1"/>
    <xf numFmtId="37" fontId="4" fillId="0" borderId="0" xfId="0" applyFont="1" applyAlignment="1">
      <alignment horizontal="right"/>
    </xf>
    <xf numFmtId="3" fontId="9" fillId="0" borderId="0" xfId="0" applyNumberFormat="1" applyFont="1"/>
    <xf numFmtId="3" fontId="2" fillId="0" borderId="3" xfId="0" applyNumberFormat="1" applyFont="1" applyBorder="1"/>
    <xf numFmtId="3" fontId="9" fillId="0" borderId="3" xfId="0" applyNumberFormat="1" applyFont="1" applyBorder="1"/>
    <xf numFmtId="3" fontId="2" fillId="0" borderId="0" xfId="0" applyNumberFormat="1" applyFont="1" applyAlignment="1">
      <alignment horizontal="centerContinuous"/>
    </xf>
    <xf numFmtId="3" fontId="2" fillId="0" borderId="2" xfId="2" applyNumberFormat="1" applyFont="1" applyBorder="1" applyAlignment="1"/>
    <xf numFmtId="37" fontId="0" fillId="0" borderId="10" xfId="0" applyBorder="1" applyAlignment="1">
      <alignment horizontal="centerContinuous"/>
    </xf>
    <xf numFmtId="37" fontId="2" fillId="0" borderId="14" xfId="0" applyFont="1" applyBorder="1" applyAlignment="1">
      <alignment horizontal="centerContinuous"/>
    </xf>
    <xf numFmtId="37" fontId="2" fillId="0" borderId="4" xfId="0" applyFont="1" applyBorder="1"/>
    <xf numFmtId="37" fontId="2" fillId="0" borderId="9" xfId="0" applyFont="1" applyBorder="1"/>
    <xf numFmtId="165" fontId="2" fillId="0" borderId="3" xfId="2" applyNumberFormat="1" applyFont="1" applyBorder="1" applyAlignment="1"/>
    <xf numFmtId="37" fontId="2" fillId="0" borderId="16" xfId="0" applyFont="1" applyBorder="1"/>
    <xf numFmtId="37" fontId="4" fillId="0" borderId="16" xfId="0" applyFont="1" applyBorder="1"/>
    <xf numFmtId="3" fontId="12" fillId="0" borderId="17" xfId="2" applyNumberFormat="1" applyFont="1" applyBorder="1" applyAlignment="1"/>
    <xf numFmtId="3" fontId="12" fillId="0" borderId="18" xfId="4" applyNumberFormat="1" applyFont="1" applyBorder="1"/>
    <xf numFmtId="167" fontId="12" fillId="0" borderId="16" xfId="2" applyNumberFormat="1" applyFont="1" applyBorder="1" applyAlignment="1"/>
    <xf numFmtId="3" fontId="2" fillId="0" borderId="16" xfId="4" applyNumberFormat="1" applyFont="1" applyBorder="1"/>
    <xf numFmtId="3" fontId="2" fillId="0" borderId="15" xfId="4" applyNumberFormat="1" applyFont="1" applyBorder="1"/>
    <xf numFmtId="3" fontId="2" fillId="0" borderId="17" xfId="4" applyNumberFormat="1" applyFont="1" applyBorder="1"/>
    <xf numFmtId="165" fontId="2" fillId="0" borderId="0" xfId="2" applyNumberFormat="1" applyFont="1" applyAlignment="1"/>
    <xf numFmtId="165" fontId="2" fillId="3" borderId="0" xfId="2" applyNumberFormat="1" applyFont="1" applyFill="1" applyAlignment="1"/>
    <xf numFmtId="165" fontId="2" fillId="0" borderId="12" xfId="2" applyNumberFormat="1" applyFont="1" applyBorder="1" applyAlignment="1"/>
    <xf numFmtId="165" fontId="2" fillId="0" borderId="19" xfId="2" applyNumberFormat="1" applyFont="1" applyBorder="1" applyAlignment="1"/>
    <xf numFmtId="165" fontId="2" fillId="0" borderId="4" xfId="2" applyNumberFormat="1" applyFont="1" applyBorder="1" applyAlignment="1"/>
    <xf numFmtId="165" fontId="2" fillId="3" borderId="4" xfId="2" applyNumberFormat="1" applyFont="1" applyFill="1" applyBorder="1" applyAlignment="1"/>
    <xf numFmtId="165" fontId="2" fillId="3" borderId="20" xfId="2" applyNumberFormat="1" applyFont="1" applyFill="1" applyBorder="1" applyAlignment="1"/>
    <xf numFmtId="165" fontId="2" fillId="0" borderId="20" xfId="2" applyNumberFormat="1" applyFont="1" applyBorder="1" applyAlignment="1"/>
    <xf numFmtId="165" fontId="2" fillId="3" borderId="4" xfId="2" applyNumberFormat="1" applyFont="1" applyFill="1" applyBorder="1" applyAlignment="1">
      <alignment horizontal="right"/>
    </xf>
    <xf numFmtId="165" fontId="2" fillId="3" borderId="20" xfId="2" applyNumberFormat="1" applyFont="1" applyFill="1" applyBorder="1" applyAlignment="1">
      <alignment horizontal="right"/>
    </xf>
    <xf numFmtId="37" fontId="13" fillId="0" borderId="0" xfId="0" applyFont="1" applyAlignment="1">
      <alignment horizontal="left"/>
    </xf>
    <xf numFmtId="165" fontId="2" fillId="0" borderId="20" xfId="2" applyNumberFormat="1" applyFont="1" applyBorder="1" applyAlignment="1">
      <alignment horizontal="right"/>
    </xf>
    <xf numFmtId="37" fontId="2" fillId="0" borderId="0" xfId="0" applyFont="1" applyAlignment="1">
      <alignment vertical="center" readingOrder="1"/>
    </xf>
    <xf numFmtId="37" fontId="2" fillId="4" borderId="3" xfId="0" applyFont="1" applyFill="1" applyBorder="1"/>
    <xf numFmtId="37" fontId="2" fillId="4" borderId="0" xfId="0" applyFont="1" applyFill="1"/>
    <xf numFmtId="165" fontId="2" fillId="0" borderId="19" xfId="2" applyNumberFormat="1" applyFont="1" applyBorder="1" applyAlignment="1">
      <alignment horizontal="right"/>
    </xf>
    <xf numFmtId="165" fontId="2" fillId="0" borderId="4" xfId="2" applyNumberFormat="1" applyFont="1" applyBorder="1" applyAlignment="1">
      <alignment horizontal="right"/>
    </xf>
    <xf numFmtId="165" fontId="2" fillId="3" borderId="21" xfId="2" applyNumberFormat="1" applyFont="1" applyFill="1" applyBorder="1" applyAlignment="1">
      <alignment horizontal="right"/>
    </xf>
    <xf numFmtId="37" fontId="2" fillId="0" borderId="0" xfId="0" applyFont="1" applyAlignment="1">
      <alignment horizontal="left" vertical="center"/>
    </xf>
    <xf numFmtId="164" fontId="2" fillId="0" borderId="0" xfId="0" applyNumberFormat="1" applyFont="1" applyAlignment="1">
      <alignment horizontal="left" vertical="center"/>
    </xf>
    <xf numFmtId="166" fontId="2" fillId="0" borderId="0" xfId="0" applyNumberFormat="1" applyFont="1" applyAlignment="1">
      <alignment horizontal="left" vertical="center"/>
    </xf>
    <xf numFmtId="37" fontId="2" fillId="0" borderId="0" xfId="0" applyFont="1" applyAlignment="1">
      <alignment vertical="top"/>
    </xf>
    <xf numFmtId="37" fontId="4" fillId="0" borderId="17" xfId="0" applyFont="1" applyBorder="1" applyAlignment="1">
      <alignment horizontal="right"/>
    </xf>
    <xf numFmtId="3" fontId="2" fillId="0" borderId="16" xfId="0" applyNumberFormat="1" applyFont="1" applyBorder="1"/>
    <xf numFmtId="3" fontId="2" fillId="0" borderId="15" xfId="0" applyNumberFormat="1" applyFont="1" applyBorder="1"/>
    <xf numFmtId="165" fontId="2" fillId="0" borderId="22" xfId="2" applyNumberFormat="1" applyFont="1" applyBorder="1" applyAlignment="1">
      <alignment horizontal="right"/>
    </xf>
    <xf numFmtId="165" fontId="2" fillId="0" borderId="0" xfId="2" applyNumberFormat="1" applyFont="1" applyAlignment="1">
      <alignment horizontal="right"/>
    </xf>
    <xf numFmtId="165" fontId="2" fillId="3" borderId="0" xfId="2" applyNumberFormat="1" applyFont="1" applyFill="1" applyAlignment="1">
      <alignment horizontal="right"/>
    </xf>
    <xf numFmtId="165" fontId="2" fillId="3" borderId="3" xfId="2" applyNumberFormat="1" applyFont="1" applyFill="1" applyBorder="1" applyAlignment="1">
      <alignment horizontal="right"/>
    </xf>
    <xf numFmtId="165" fontId="2" fillId="3" borderId="2" xfId="2" applyNumberFormat="1" applyFont="1" applyFill="1" applyBorder="1" applyAlignment="1">
      <alignment horizontal="right"/>
    </xf>
    <xf numFmtId="37" fontId="4" fillId="5" borderId="2" xfId="0" applyFont="1" applyFill="1" applyBorder="1" applyAlignment="1">
      <alignment horizontal="right"/>
    </xf>
    <xf numFmtId="3" fontId="2" fillId="0" borderId="0" xfId="1" applyNumberFormat="1" applyFont="1"/>
    <xf numFmtId="37" fontId="2" fillId="0" borderId="2" xfId="0" applyFont="1" applyBorder="1"/>
    <xf numFmtId="3" fontId="2" fillId="0" borderId="2" xfId="0" applyNumberFormat="1" applyFont="1" applyBorder="1"/>
    <xf numFmtId="165" fontId="2" fillId="0" borderId="23" xfId="2" applyNumberFormat="1" applyFont="1" applyBorder="1" applyAlignment="1"/>
    <xf numFmtId="165" fontId="2" fillId="3" borderId="23" xfId="2" applyNumberFormat="1" applyFont="1" applyFill="1" applyBorder="1" applyAlignment="1"/>
    <xf numFmtId="165" fontId="2" fillId="0" borderId="24" xfId="2" applyNumberFormat="1" applyFont="1" applyBorder="1" applyAlignment="1"/>
    <xf numFmtId="165" fontId="2" fillId="3" borderId="25" xfId="2" applyNumberFormat="1" applyFont="1" applyFill="1" applyBorder="1" applyAlignment="1"/>
    <xf numFmtId="165" fontId="2" fillId="0" borderId="26" xfId="2" applyNumberFormat="1" applyFont="1" applyBorder="1" applyAlignment="1"/>
    <xf numFmtId="165" fontId="2" fillId="0" borderId="27" xfId="2" applyNumberFormat="1" applyFont="1" applyBorder="1" applyAlignment="1"/>
    <xf numFmtId="165" fontId="2" fillId="0" borderId="3" xfId="2" applyNumberFormat="1" applyFont="1" applyBorder="1" applyAlignment="1">
      <alignment horizontal="right"/>
    </xf>
    <xf numFmtId="37" fontId="2" fillId="0" borderId="1" xfId="0" applyFont="1" applyBorder="1" applyAlignment="1">
      <alignment horizontal="center"/>
    </xf>
    <xf numFmtId="166" fontId="12" fillId="4" borderId="2" xfId="2" applyNumberFormat="1" applyFont="1" applyFill="1" applyBorder="1" applyAlignment="1"/>
    <xf numFmtId="166" fontId="12" fillId="4" borderId="0" xfId="2" applyNumberFormat="1" applyFont="1" applyFill="1" applyAlignment="1"/>
    <xf numFmtId="166" fontId="12" fillId="4" borderId="3" xfId="2" applyNumberFormat="1" applyFont="1" applyFill="1" applyBorder="1" applyAlignment="1"/>
    <xf numFmtId="37" fontId="4" fillId="5" borderId="3" xfId="0" applyFont="1" applyFill="1" applyBorder="1" applyAlignment="1">
      <alignment horizontal="right"/>
    </xf>
    <xf numFmtId="165" fontId="2" fillId="0" borderId="28" xfId="2" applyNumberFormat="1" applyFont="1" applyBorder="1" applyAlignment="1">
      <alignment horizontal="right"/>
    </xf>
    <xf numFmtId="37" fontId="2" fillId="0" borderId="0" xfId="0" applyFont="1" applyBorder="1"/>
    <xf numFmtId="37" fontId="2" fillId="0" borderId="3" xfId="0" applyFont="1" applyBorder="1" applyAlignment="1">
      <alignment horizontal="fill"/>
    </xf>
    <xf numFmtId="37" fontId="4" fillId="2" borderId="17" xfId="0" applyFont="1" applyFill="1" applyBorder="1" applyAlignment="1">
      <alignment horizontal="right"/>
    </xf>
    <xf numFmtId="37" fontId="4" fillId="2" borderId="2" xfId="0" applyFont="1" applyFill="1" applyBorder="1" applyAlignment="1">
      <alignment horizontal="right"/>
    </xf>
    <xf numFmtId="37" fontId="4" fillId="0" borderId="2" xfId="0" applyFont="1" applyBorder="1"/>
    <xf numFmtId="37" fontId="2" fillId="0" borderId="29" xfId="0" applyFont="1" applyBorder="1"/>
    <xf numFmtId="37" fontId="4" fillId="0" borderId="2" xfId="0" applyFont="1" applyFill="1" applyBorder="1" applyAlignment="1">
      <alignment horizontal="right"/>
    </xf>
    <xf numFmtId="37" fontId="4" fillId="6" borderId="2" xfId="0" applyFont="1" applyFill="1" applyBorder="1" applyAlignment="1">
      <alignment horizontal="right"/>
    </xf>
    <xf numFmtId="37" fontId="4" fillId="6" borderId="0" xfId="0" applyFont="1" applyFill="1" applyAlignment="1">
      <alignment horizontal="right"/>
    </xf>
    <xf numFmtId="37" fontId="14" fillId="0" borderId="0" xfId="0" applyFont="1"/>
    <xf numFmtId="37" fontId="15" fillId="0" borderId="0" xfId="0" applyFont="1" applyAlignment="1">
      <alignment horizontal="center"/>
    </xf>
    <xf numFmtId="37" fontId="15" fillId="0" borderId="16" xfId="0" applyFont="1" applyBorder="1" applyAlignment="1">
      <alignment horizontal="center"/>
    </xf>
    <xf numFmtId="37" fontId="15" fillId="0" borderId="0" xfId="0" applyFont="1" applyBorder="1" applyAlignment="1">
      <alignment horizontal="center"/>
    </xf>
    <xf numFmtId="37" fontId="4" fillId="6" borderId="2" xfId="0" applyFont="1" applyFill="1" applyBorder="1"/>
    <xf numFmtId="167" fontId="12" fillId="0" borderId="0" xfId="2" applyNumberFormat="1" applyFont="1" applyBorder="1" applyAlignment="1"/>
    <xf numFmtId="3" fontId="2" fillId="0" borderId="0" xfId="0" applyNumberFormat="1" applyFont="1" applyBorder="1"/>
    <xf numFmtId="37" fontId="2" fillId="0" borderId="0" xfId="0" applyFont="1" applyBorder="1" applyAlignment="1">
      <alignment horizontal="right"/>
    </xf>
    <xf numFmtId="37" fontId="4" fillId="0" borderId="3" xfId="0" applyFont="1" applyFill="1" applyBorder="1" applyAlignment="1">
      <alignment horizontal="right"/>
    </xf>
    <xf numFmtId="37" fontId="4" fillId="6" borderId="0" xfId="0" applyFont="1" applyFill="1"/>
    <xf numFmtId="37" fontId="2" fillId="0" borderId="0" xfId="0" applyFont="1" applyFill="1"/>
    <xf numFmtId="37" fontId="2" fillId="0" borderId="0" xfId="0" applyFont="1" applyFill="1" applyBorder="1"/>
    <xf numFmtId="37" fontId="2" fillId="0" borderId="7" xfId="0" applyFont="1" applyFill="1" applyBorder="1" applyAlignment="1">
      <alignment horizontal="center"/>
    </xf>
    <xf numFmtId="37" fontId="2" fillId="0" borderId="7" xfId="0" applyFont="1" applyFill="1" applyBorder="1" applyAlignment="1">
      <alignment horizontal="right"/>
    </xf>
    <xf numFmtId="37" fontId="2" fillId="0" borderId="8" xfId="0" applyFont="1" applyFill="1" applyBorder="1" applyAlignment="1">
      <alignment horizontal="center"/>
    </xf>
    <xf numFmtId="37" fontId="10" fillId="0" borderId="5" xfId="0" applyFont="1" applyFill="1" applyBorder="1" applyAlignment="1">
      <alignment horizontal="center"/>
    </xf>
    <xf numFmtId="37" fontId="13" fillId="0" borderId="0" xfId="0" applyFont="1" applyFill="1"/>
    <xf numFmtId="168" fontId="2" fillId="0" borderId="0" xfId="1" applyNumberFormat="1" applyFont="1"/>
    <xf numFmtId="37" fontId="4" fillId="0" borderId="0" xfId="0" applyFont="1" applyFill="1"/>
    <xf numFmtId="49" fontId="2" fillId="0" borderId="0" xfId="0" applyNumberFormat="1" applyFont="1" applyAlignment="1">
      <alignment horizontal="right"/>
    </xf>
    <xf numFmtId="37" fontId="2" fillId="0" borderId="0" xfId="0" applyFont="1" applyAlignment="1">
      <alignment horizontal="left" vertical="top" wrapText="1" readingOrder="1"/>
    </xf>
    <xf numFmtId="37" fontId="10" fillId="0" borderId="0" xfId="0" applyFont="1" applyAlignment="1">
      <alignment horizontal="left" vertical="top" wrapText="1"/>
    </xf>
    <xf numFmtId="37" fontId="2" fillId="0" borderId="0" xfId="0" applyFont="1" applyAlignment="1">
      <alignment vertical="top" wrapText="1"/>
    </xf>
    <xf numFmtId="37" fontId="0" fillId="0" borderId="0" xfId="0" applyAlignment="1">
      <alignment vertical="top" wrapText="1"/>
    </xf>
  </cellXfs>
  <cellStyles count="5">
    <cellStyle name="Comma 2" xfId="4" xr:uid="{00000000-0005-0000-0000-000000000000}"/>
    <cellStyle name="Normal" xfId="0" builtinId="0"/>
    <cellStyle name="Normal 2" xfId="2" xr:uid="{00000000-0005-0000-0000-000002000000}"/>
    <cellStyle name="Normal 2 2" xfId="3" xr:uid="{00000000-0005-0000-0000-000003000000}"/>
    <cellStyle name="Percent" xfId="1" builtinId="5"/>
  </cellStyles>
  <dxfs count="0"/>
  <tableStyles count="0" defaultTableStyle="TableStyleMedium9" defaultPivotStyle="PivotStyleLight16"/>
  <colors>
    <mruColors>
      <color rgb="FF92D050"/>
      <color rgb="FFFF66CC"/>
      <color rgb="FF990033"/>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Percent of Total Research and Scholarship Doctoral Degrees Awarded by Public and Private Colleges and Universities </a:t>
            </a:r>
          </a:p>
        </c:rich>
      </c:tx>
      <c:overlay val="0"/>
    </c:title>
    <c:autoTitleDeleted val="0"/>
    <c:plotArea>
      <c:layout>
        <c:manualLayout>
          <c:layoutTarget val="inner"/>
          <c:xMode val="edge"/>
          <c:yMode val="edge"/>
          <c:x val="3.0987013830974003E-3"/>
          <c:y val="0.16894043416986676"/>
          <c:w val="0.99311361183015789"/>
          <c:h val="0.63838209878937568"/>
        </c:manualLayout>
      </c:layout>
      <c:barChart>
        <c:barDir val="col"/>
        <c:grouping val="clustered"/>
        <c:varyColors val="0"/>
        <c:ser>
          <c:idx val="0"/>
          <c:order val="0"/>
          <c:tx>
            <c:strRef>
              <c:f>'TABLE 57'!$A$8</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57'!$E$5:$P$7</c:f>
              <c:multiLvlStrCache>
                <c:ptCount val="12"/>
                <c:lvl>
                  <c:pt idx="0">
                    <c:v>2013-14</c:v>
                  </c:pt>
                  <c:pt idx="1">
                    <c:v>2018-19</c:v>
                  </c:pt>
                  <c:pt idx="2">
                    <c:v>2013-14</c:v>
                  </c:pt>
                  <c:pt idx="3">
                    <c:v>2018-19</c:v>
                  </c:pt>
                  <c:pt idx="4">
                    <c:v>2013-14</c:v>
                  </c:pt>
                  <c:pt idx="5">
                    <c:v>2018-19</c:v>
                  </c:pt>
                  <c:pt idx="6">
                    <c:v>2013-14</c:v>
                  </c:pt>
                  <c:pt idx="7">
                    <c:v> PBIs or HBCUs3</c:v>
                  </c:pt>
                  <c:pt idx="8">
                    <c:v>2018-19</c:v>
                  </c:pt>
                  <c:pt idx="9">
                    <c:v> PBIs or HBCUs3</c:v>
                  </c:pt>
                  <c:pt idx="10">
                    <c:v>2013-14</c:v>
                  </c:pt>
                  <c:pt idx="11">
                    <c:v>2018-19</c:v>
                  </c:pt>
                </c:lvl>
                <c:lvl>
                  <c:pt idx="5">
                    <c:v> </c:v>
                  </c:pt>
                  <c:pt idx="7">
                    <c:v>Percent at</c:v>
                  </c:pt>
                  <c:pt idx="8">
                    <c:v> </c:v>
                  </c:pt>
                  <c:pt idx="9">
                    <c:v>Percent at</c:v>
                  </c:pt>
                  <c:pt idx="10">
                    <c:v> </c:v>
                  </c:pt>
                  <c:pt idx="11">
                    <c:v> </c:v>
                  </c:pt>
                </c:lvl>
                <c:lvl>
                  <c:pt idx="0">
                    <c:v>Public Colleges</c:v>
                  </c:pt>
                  <c:pt idx="2">
                    <c:v>Women Students</c:v>
                  </c:pt>
                  <c:pt idx="4">
                    <c:v>Foreign Students</c:v>
                  </c:pt>
                  <c:pt idx="6">
                    <c:v>Black Students2</c:v>
                  </c:pt>
                  <c:pt idx="10">
                    <c:v>Hispanic Students2</c:v>
                  </c:pt>
                </c:lvl>
              </c:multiLvlStrCache>
            </c:multiLvlStrRef>
          </c:cat>
          <c:val>
            <c:numRef>
              <c:f>'TABLE 57'!$E$8:$P$8</c:f>
              <c:numCache>
                <c:formatCode>#,##0.0</c:formatCode>
                <c:ptCount val="12"/>
                <c:pt idx="0">
                  <c:v>64.86499083366995</c:v>
                </c:pt>
                <c:pt idx="1">
                  <c:v>64.138950268315781</c:v>
                </c:pt>
                <c:pt idx="2">
                  <c:v>49.156386912345027</c:v>
                </c:pt>
                <c:pt idx="3">
                  <c:v>49.669985938531291</c:v>
                </c:pt>
                <c:pt idx="4">
                  <c:v>28.409408694031008</c:v>
                </c:pt>
                <c:pt idx="5">
                  <c:v>29.090022096593682</c:v>
                </c:pt>
                <c:pt idx="6">
                  <c:v>9.3548919320244188</c:v>
                </c:pt>
                <c:pt idx="7">
                  <c:v>16.805240614764426</c:v>
                </c:pt>
                <c:pt idx="8">
                  <c:v>10.5814937813375</c:v>
                </c:pt>
                <c:pt idx="9">
                  <c:v>10.071794871794872</c:v>
                </c:pt>
                <c:pt idx="10">
                  <c:v>6.5783581210078488</c:v>
                </c:pt>
                <c:pt idx="11">
                  <c:v>8.265503244991427</c:v>
                </c:pt>
              </c:numCache>
            </c:numRef>
          </c:val>
          <c:extLst>
            <c:ext xmlns:c16="http://schemas.microsoft.com/office/drawing/2014/chart" uri="{C3380CC4-5D6E-409C-BE32-E72D297353CC}">
              <c16:uniqueId val="{00000000-1C1E-4A6E-AC17-A9663F911664}"/>
            </c:ext>
          </c:extLst>
        </c:ser>
        <c:ser>
          <c:idx val="1"/>
          <c:order val="1"/>
          <c:tx>
            <c:strRef>
              <c:f>'TABLE 57'!$A$9</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57'!$E$5:$P$7</c:f>
              <c:multiLvlStrCache>
                <c:ptCount val="12"/>
                <c:lvl>
                  <c:pt idx="0">
                    <c:v>2013-14</c:v>
                  </c:pt>
                  <c:pt idx="1">
                    <c:v>2018-19</c:v>
                  </c:pt>
                  <c:pt idx="2">
                    <c:v>2013-14</c:v>
                  </c:pt>
                  <c:pt idx="3">
                    <c:v>2018-19</c:v>
                  </c:pt>
                  <c:pt idx="4">
                    <c:v>2013-14</c:v>
                  </c:pt>
                  <c:pt idx="5">
                    <c:v>2018-19</c:v>
                  </c:pt>
                  <c:pt idx="6">
                    <c:v>2013-14</c:v>
                  </c:pt>
                  <c:pt idx="7">
                    <c:v> PBIs or HBCUs3</c:v>
                  </c:pt>
                  <c:pt idx="8">
                    <c:v>2018-19</c:v>
                  </c:pt>
                  <c:pt idx="9">
                    <c:v> PBIs or HBCUs3</c:v>
                  </c:pt>
                  <c:pt idx="10">
                    <c:v>2013-14</c:v>
                  </c:pt>
                  <c:pt idx="11">
                    <c:v>2018-19</c:v>
                  </c:pt>
                </c:lvl>
                <c:lvl>
                  <c:pt idx="5">
                    <c:v> </c:v>
                  </c:pt>
                  <c:pt idx="7">
                    <c:v>Percent at</c:v>
                  </c:pt>
                  <c:pt idx="8">
                    <c:v> </c:v>
                  </c:pt>
                  <c:pt idx="9">
                    <c:v>Percent at</c:v>
                  </c:pt>
                  <c:pt idx="10">
                    <c:v> </c:v>
                  </c:pt>
                  <c:pt idx="11">
                    <c:v> </c:v>
                  </c:pt>
                </c:lvl>
                <c:lvl>
                  <c:pt idx="0">
                    <c:v>Public Colleges</c:v>
                  </c:pt>
                  <c:pt idx="2">
                    <c:v>Women Students</c:v>
                  </c:pt>
                  <c:pt idx="4">
                    <c:v>Foreign Students</c:v>
                  </c:pt>
                  <c:pt idx="6">
                    <c:v>Black Students2</c:v>
                  </c:pt>
                  <c:pt idx="10">
                    <c:v>Hispanic Students2</c:v>
                  </c:pt>
                </c:lvl>
              </c:multiLvlStrCache>
            </c:multiLvlStrRef>
          </c:cat>
          <c:val>
            <c:numRef>
              <c:f>'TABLE 57'!$E$9:$P$9</c:f>
              <c:numCache>
                <c:formatCode>#,##0.0</c:formatCode>
                <c:ptCount val="12"/>
                <c:pt idx="0">
                  <c:v>74.797693237838331</c:v>
                </c:pt>
                <c:pt idx="1">
                  <c:v>74.512256128064038</c:v>
                </c:pt>
                <c:pt idx="2">
                  <c:v>50.13952190493908</c:v>
                </c:pt>
                <c:pt idx="3">
                  <c:v>51.192262798065698</c:v>
                </c:pt>
                <c:pt idx="4">
                  <c:v>27.462561622174679</c:v>
                </c:pt>
                <c:pt idx="5">
                  <c:v>27.48874437218609</c:v>
                </c:pt>
                <c:pt idx="6">
                  <c:v>14.049919484702095</c:v>
                </c:pt>
                <c:pt idx="7">
                  <c:v>24.737344794651385</c:v>
                </c:pt>
                <c:pt idx="8">
                  <c:v>15.081967213114755</c:v>
                </c:pt>
                <c:pt idx="9">
                  <c:v>16.062801932367147</c:v>
                </c:pt>
                <c:pt idx="10">
                  <c:v>6.9444444444444446</c:v>
                </c:pt>
                <c:pt idx="11">
                  <c:v>8.4578020643594414</c:v>
                </c:pt>
              </c:numCache>
            </c:numRef>
          </c:val>
          <c:extLst>
            <c:ext xmlns:c16="http://schemas.microsoft.com/office/drawing/2014/chart" uri="{C3380CC4-5D6E-409C-BE32-E72D297353CC}">
              <c16:uniqueId val="{00000001-1C1E-4A6E-AC17-A9663F911664}"/>
            </c:ext>
          </c:extLst>
        </c:ser>
        <c:ser>
          <c:idx val="2"/>
          <c:order val="2"/>
          <c:tx>
            <c:v>State</c:v>
          </c:tx>
          <c:spPr>
            <a:solidFill>
              <a:srgbClr val="006600"/>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57'!$E$5:$P$7</c:f>
              <c:multiLvlStrCache>
                <c:ptCount val="12"/>
                <c:lvl>
                  <c:pt idx="0">
                    <c:v>2013-14</c:v>
                  </c:pt>
                  <c:pt idx="1">
                    <c:v>2018-19</c:v>
                  </c:pt>
                  <c:pt idx="2">
                    <c:v>2013-14</c:v>
                  </c:pt>
                  <c:pt idx="3">
                    <c:v>2018-19</c:v>
                  </c:pt>
                  <c:pt idx="4">
                    <c:v>2013-14</c:v>
                  </c:pt>
                  <c:pt idx="5">
                    <c:v>2018-19</c:v>
                  </c:pt>
                  <c:pt idx="6">
                    <c:v>2013-14</c:v>
                  </c:pt>
                  <c:pt idx="7">
                    <c:v> PBIs or HBCUs3</c:v>
                  </c:pt>
                  <c:pt idx="8">
                    <c:v>2018-19</c:v>
                  </c:pt>
                  <c:pt idx="9">
                    <c:v> PBIs or HBCUs3</c:v>
                  </c:pt>
                  <c:pt idx="10">
                    <c:v>2013-14</c:v>
                  </c:pt>
                  <c:pt idx="11">
                    <c:v>2018-19</c:v>
                  </c:pt>
                </c:lvl>
                <c:lvl>
                  <c:pt idx="5">
                    <c:v> </c:v>
                  </c:pt>
                  <c:pt idx="7">
                    <c:v>Percent at</c:v>
                  </c:pt>
                  <c:pt idx="8">
                    <c:v> </c:v>
                  </c:pt>
                  <c:pt idx="9">
                    <c:v>Percent at</c:v>
                  </c:pt>
                  <c:pt idx="10">
                    <c:v> </c:v>
                  </c:pt>
                  <c:pt idx="11">
                    <c:v> </c:v>
                  </c:pt>
                </c:lvl>
                <c:lvl>
                  <c:pt idx="0">
                    <c:v>Public Colleges</c:v>
                  </c:pt>
                  <c:pt idx="2">
                    <c:v>Women Students</c:v>
                  </c:pt>
                  <c:pt idx="4">
                    <c:v>Foreign Students</c:v>
                  </c:pt>
                  <c:pt idx="6">
                    <c:v>Black Students2</c:v>
                  </c:pt>
                  <c:pt idx="10">
                    <c:v>Hispanic Students2</c:v>
                  </c:pt>
                </c:lvl>
              </c:multiLvlStrCache>
            </c:multiLvlStrRef>
          </c:cat>
          <c:val>
            <c:numRef>
              <c:f>'TABLE 57'!$E$11:$P$11</c:f>
              <c:numCache>
                <c:formatCode>#,##0.0</c:formatCode>
                <c:ptCount val="12"/>
                <c:pt idx="0">
                  <c:v>95.416666666666671</c:v>
                </c:pt>
                <c:pt idx="1">
                  <c:v>94.495412844036693</c:v>
                </c:pt>
                <c:pt idx="2">
                  <c:v>49.027777777777779</c:v>
                </c:pt>
                <c:pt idx="3">
                  <c:v>48.885976408912192</c:v>
                </c:pt>
                <c:pt idx="4">
                  <c:v>29.305555555555557</c:v>
                </c:pt>
                <c:pt idx="5">
                  <c:v>28.964613368283093</c:v>
                </c:pt>
                <c:pt idx="6">
                  <c:v>18.2</c:v>
                </c:pt>
                <c:pt idx="7">
                  <c:v>13.186813186813188</c:v>
                </c:pt>
                <c:pt idx="8">
                  <c:v>16.037735849056602</c:v>
                </c:pt>
                <c:pt idx="9">
                  <c:v>14.117647058823529</c:v>
                </c:pt>
                <c:pt idx="10">
                  <c:v>1.7999999999999998</c:v>
                </c:pt>
                <c:pt idx="11">
                  <c:v>2.6415094339622645</c:v>
                </c:pt>
              </c:numCache>
            </c:numRef>
          </c:val>
          <c:extLst>
            <c:ext xmlns:c16="http://schemas.microsoft.com/office/drawing/2014/chart" uri="{C3380CC4-5D6E-409C-BE32-E72D297353CC}">
              <c16:uniqueId val="{00000002-1C1E-4A6E-AC17-A9663F911664}"/>
            </c:ext>
          </c:extLst>
        </c:ser>
        <c:dLbls>
          <c:showLegendKey val="0"/>
          <c:showVal val="1"/>
          <c:showCatName val="0"/>
          <c:showSerName val="0"/>
          <c:showPercent val="0"/>
          <c:showBubbleSize val="0"/>
        </c:dLbls>
        <c:gapWidth val="150"/>
        <c:axId val="105691008"/>
        <c:axId val="105692544"/>
      </c:barChart>
      <c:catAx>
        <c:axId val="105691008"/>
        <c:scaling>
          <c:orientation val="minMax"/>
        </c:scaling>
        <c:delete val="0"/>
        <c:axPos val="b"/>
        <c:majorGridlines/>
        <c:numFmt formatCode="General" sourceLinked="0"/>
        <c:majorTickMark val="out"/>
        <c:minorTickMark val="none"/>
        <c:tickLblPos val="nextTo"/>
        <c:crossAx val="105692544"/>
        <c:crosses val="autoZero"/>
        <c:auto val="1"/>
        <c:lblAlgn val="ctr"/>
        <c:lblOffset val="100"/>
        <c:noMultiLvlLbl val="0"/>
      </c:catAx>
      <c:valAx>
        <c:axId val="105692544"/>
        <c:scaling>
          <c:orientation val="minMax"/>
        </c:scaling>
        <c:delete val="1"/>
        <c:axPos val="l"/>
        <c:numFmt formatCode="#,##0.0" sourceLinked="1"/>
        <c:majorTickMark val="out"/>
        <c:minorTickMark val="none"/>
        <c:tickLblPos val="none"/>
        <c:crossAx val="105691008"/>
        <c:crosses val="autoZero"/>
        <c:crossBetween val="between"/>
      </c:valAx>
    </c:plotArea>
    <c:legend>
      <c:legendPos val="t"/>
      <c:overlay val="0"/>
    </c:legend>
    <c:plotVisOnly val="1"/>
    <c:dispBlanksAs val="gap"/>
    <c:showDLblsOverMax val="0"/>
  </c:chart>
  <c:txPr>
    <a:bodyPr/>
    <a:lstStyle/>
    <a:p>
      <a:pPr>
        <a:defRPr b="1"/>
      </a:pPr>
      <a:endParaRPr lang="en-US"/>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500"/>
      <c:rotY val="20"/>
      <c:depthPercent val="50"/>
      <c:rAngAx val="1"/>
    </c:view3D>
    <c:floor>
      <c:thickness val="0"/>
      <c:spPr>
        <a:solidFill>
          <a:srgbClr val="FFFFFF"/>
        </a:solidFill>
        <a:ln w="9525">
          <a:noFill/>
        </a:ln>
      </c:spPr>
    </c:floor>
    <c:sideWall>
      <c:thickness val="0"/>
      <c:spPr>
        <a:solidFill>
          <a:srgbClr val="FFFFFF"/>
        </a:solidFill>
        <a:ln w="25400">
          <a:noFill/>
        </a:ln>
      </c:spPr>
    </c:sideWall>
    <c:backWall>
      <c:thickness val="0"/>
      <c:spPr>
        <a:solidFill>
          <a:srgbClr val="FFFFFF"/>
        </a:solidFill>
        <a:ln w="25400">
          <a:noFill/>
        </a:ln>
      </c:spPr>
    </c:backWall>
    <c:plotArea>
      <c:layout/>
      <c:bar3DChart>
        <c:barDir val="col"/>
        <c:grouping val="clustered"/>
        <c:varyColors val="0"/>
        <c:ser>
          <c:idx val="0"/>
          <c:order val="0"/>
          <c:spPr>
            <a:solidFill>
              <a:srgbClr val="FF0000"/>
            </a:solidFill>
            <a:ln w="12700">
              <a:solidFill>
                <a:srgbClr val="000000"/>
              </a:solidFill>
              <a:prstDash val="solid"/>
            </a:ln>
          </c:spPr>
          <c:invertIfNegative val="0"/>
          <c:dLbls>
            <c:dLbl>
              <c:idx val="0"/>
              <c:spPr>
                <a:noFill/>
                <a:ln w="25400">
                  <a:noFill/>
                </a:ln>
              </c:spPr>
              <c:txPr>
                <a:bodyPr/>
                <a:lstStyle/>
                <a:p>
                  <a:pPr algn="ctr" rtl="1">
                    <a:defRPr sz="1000" b="0" i="0" u="none" strike="noStrike" baseline="0">
                      <a:solidFill>
                        <a:srgbClr val="000000"/>
                      </a:solidFill>
                      <a:latin typeface="AGaramond"/>
                      <a:ea typeface="AGaramond"/>
                      <a:cs typeface="AGaramond"/>
                    </a:defRPr>
                  </a:pPr>
                  <a:endParaRPr lang="en-US"/>
                </a:p>
              </c:txPr>
              <c:showLegendKey val="0"/>
              <c:showVal val="1"/>
              <c:showCatName val="0"/>
              <c:showSerName val="0"/>
              <c:showPercent val="0"/>
              <c:showBubbleSize val="0"/>
              <c:extLst>
                <c:ext xmlns:c16="http://schemas.microsoft.com/office/drawing/2014/chart" uri="{C3380CC4-5D6E-409C-BE32-E72D297353CC}">
                  <c16:uniqueId val="{00000000-CCBA-4E3C-A42E-AA6906204D3A}"/>
                </c:ext>
              </c:extLst>
            </c:dLbl>
            <c:spPr>
              <a:noFill/>
              <a:ln w="25400">
                <a:noFill/>
              </a:ln>
            </c:spPr>
            <c:txPr>
              <a:bodyPr/>
              <a:lstStyle/>
              <a:p>
                <a:pPr>
                  <a:defRPr sz="1000" b="0" i="0" u="none" strike="noStrike" baseline="0">
                    <a:solidFill>
                      <a:srgbClr val="000000"/>
                    </a:solidFill>
                    <a:latin typeface="AGaramond"/>
                    <a:ea typeface="AGaramond"/>
                    <a:cs typeface="AGaramond"/>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Gender!#REF!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Gender!#REF!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CCBA-4E3C-A42E-AA6906204D3A}"/>
            </c:ext>
          </c:extLst>
        </c:ser>
        <c:dLbls>
          <c:showLegendKey val="0"/>
          <c:showVal val="0"/>
          <c:showCatName val="0"/>
          <c:showSerName val="0"/>
          <c:showPercent val="0"/>
          <c:showBubbleSize val="0"/>
        </c:dLbls>
        <c:gapWidth val="150"/>
        <c:shape val="box"/>
        <c:axId val="107406848"/>
        <c:axId val="107408384"/>
        <c:axId val="0"/>
      </c:bar3DChart>
      <c:catAx>
        <c:axId val="107406848"/>
        <c:scaling>
          <c:orientation val="minMax"/>
        </c:scaling>
        <c:delete val="0"/>
        <c:axPos val="b"/>
        <c:numFmt formatCode="General" sourceLinked="1"/>
        <c:majorTickMark val="none"/>
        <c:minorTickMark val="in"/>
        <c:tickLblPos val="low"/>
        <c:spPr>
          <a:ln w="1270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07408384"/>
        <c:crosses val="autoZero"/>
        <c:auto val="1"/>
        <c:lblAlgn val="ctr"/>
        <c:lblOffset val="100"/>
        <c:tickLblSkip val="1"/>
        <c:tickMarkSkip val="1"/>
        <c:noMultiLvlLbl val="0"/>
      </c:catAx>
      <c:valAx>
        <c:axId val="107408384"/>
        <c:scaling>
          <c:orientation val="minMax"/>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07406848"/>
        <c:crosses val="autoZero"/>
        <c:crossBetween val="between"/>
      </c:valAx>
      <c:spPr>
        <a:noFill/>
        <a:ln w="25400">
          <a:noFill/>
        </a:ln>
      </c:spPr>
    </c:plotArea>
    <c:plotVisOnly val="0"/>
    <c:dispBlanksAs val="gap"/>
    <c:showDLblsOverMax val="0"/>
  </c:chart>
  <c:spPr>
    <a:solidFill>
      <a:srgbClr val="FFFFFF"/>
    </a:solidFill>
    <a:ln w="9525">
      <a:noFill/>
    </a:ln>
  </c:spPr>
  <c:txPr>
    <a:bodyPr/>
    <a:lstStyle/>
    <a:p>
      <a:pPr>
        <a:defRPr sz="1000" b="0" i="0" u="none" strike="noStrike" baseline="0">
          <a:solidFill>
            <a:srgbClr val="000000"/>
          </a:solidFill>
          <a:latin typeface="AGaramond"/>
          <a:ea typeface="AGaramond"/>
          <a:cs typeface="AGaramond"/>
        </a:defRPr>
      </a:pPr>
      <a:endParaRPr lang="en-US"/>
    </a:p>
  </c:txPr>
  <c:printSettings>
    <c:headerFooter alignWithMargins="0"/>
    <c:pageMargins b="1" l="0.75000000000000289" r="0.75000000000000289"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500"/>
      <c:rotY val="20"/>
      <c:depthPercent val="50"/>
      <c:rAngAx val="1"/>
    </c:view3D>
    <c:floor>
      <c:thickness val="0"/>
      <c:spPr>
        <a:solidFill>
          <a:srgbClr val="FFFFFF"/>
        </a:solidFill>
        <a:ln w="9525">
          <a:noFill/>
        </a:ln>
      </c:spPr>
    </c:floor>
    <c:sideWall>
      <c:thickness val="0"/>
      <c:spPr>
        <a:solidFill>
          <a:srgbClr val="FFFFFF"/>
        </a:solidFill>
        <a:ln w="25400">
          <a:noFill/>
        </a:ln>
      </c:spPr>
    </c:sideWall>
    <c:backWall>
      <c:thickness val="0"/>
      <c:spPr>
        <a:solidFill>
          <a:srgbClr val="FFFFFF"/>
        </a:solidFill>
        <a:ln w="25400">
          <a:noFill/>
        </a:ln>
      </c:spPr>
    </c:backWall>
    <c:plotArea>
      <c:layout/>
      <c:bar3DChart>
        <c:barDir val="col"/>
        <c:grouping val="clustered"/>
        <c:varyColors val="0"/>
        <c:ser>
          <c:idx val="0"/>
          <c:order val="0"/>
          <c:spPr>
            <a:solidFill>
              <a:srgbClr val="FF0000"/>
            </a:solidFill>
            <a:ln w="12700">
              <a:solidFill>
                <a:srgbClr val="000000"/>
              </a:solidFill>
              <a:prstDash val="solid"/>
            </a:ln>
          </c:spPr>
          <c:invertIfNegative val="0"/>
          <c:dLbls>
            <c:dLbl>
              <c:idx val="0"/>
              <c:spPr>
                <a:noFill/>
                <a:ln w="25400">
                  <a:noFill/>
                </a:ln>
              </c:spPr>
              <c:txPr>
                <a:bodyPr/>
                <a:lstStyle/>
                <a:p>
                  <a:pPr algn="ctr" rtl="1">
                    <a:defRPr sz="1000" b="0" i="0" u="none" strike="noStrike" baseline="0">
                      <a:solidFill>
                        <a:srgbClr val="000000"/>
                      </a:solidFill>
                      <a:latin typeface="AGaramond"/>
                      <a:ea typeface="AGaramond"/>
                      <a:cs typeface="AGaramond"/>
                    </a:defRPr>
                  </a:pPr>
                  <a:endParaRPr lang="en-US"/>
                </a:p>
              </c:txPr>
              <c:showLegendKey val="0"/>
              <c:showVal val="1"/>
              <c:showCatName val="0"/>
              <c:showSerName val="0"/>
              <c:showPercent val="0"/>
              <c:showBubbleSize val="0"/>
              <c:extLst>
                <c:ext xmlns:c16="http://schemas.microsoft.com/office/drawing/2014/chart" uri="{C3380CC4-5D6E-409C-BE32-E72D297353CC}">
                  <c16:uniqueId val="{00000000-012E-49F2-98AA-7BC83AA4D16B}"/>
                </c:ext>
              </c:extLst>
            </c:dLbl>
            <c:spPr>
              <a:noFill/>
              <a:ln w="25400">
                <a:noFill/>
              </a:ln>
            </c:spPr>
            <c:txPr>
              <a:bodyPr/>
              <a:lstStyle/>
              <a:p>
                <a:pPr>
                  <a:defRPr sz="1000" b="0" i="0" u="none" strike="noStrike" baseline="0">
                    <a:solidFill>
                      <a:srgbClr val="000000"/>
                    </a:solidFill>
                    <a:latin typeface="AGaramond"/>
                    <a:ea typeface="AGaramond"/>
                    <a:cs typeface="AGaramond"/>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Gender!#REF!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Gender!#REF!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012E-49F2-98AA-7BC83AA4D16B}"/>
            </c:ext>
          </c:extLst>
        </c:ser>
        <c:dLbls>
          <c:showLegendKey val="0"/>
          <c:showVal val="0"/>
          <c:showCatName val="0"/>
          <c:showSerName val="0"/>
          <c:showPercent val="0"/>
          <c:showBubbleSize val="0"/>
        </c:dLbls>
        <c:gapWidth val="150"/>
        <c:shape val="box"/>
        <c:axId val="113859968"/>
        <c:axId val="113878144"/>
        <c:axId val="0"/>
      </c:bar3DChart>
      <c:catAx>
        <c:axId val="113859968"/>
        <c:scaling>
          <c:orientation val="minMax"/>
        </c:scaling>
        <c:delete val="0"/>
        <c:axPos val="b"/>
        <c:numFmt formatCode="General" sourceLinked="1"/>
        <c:majorTickMark val="none"/>
        <c:minorTickMark val="in"/>
        <c:tickLblPos val="low"/>
        <c:spPr>
          <a:ln w="1270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13878144"/>
        <c:crosses val="autoZero"/>
        <c:auto val="1"/>
        <c:lblAlgn val="ctr"/>
        <c:lblOffset val="100"/>
        <c:tickLblSkip val="1"/>
        <c:tickMarkSkip val="1"/>
        <c:noMultiLvlLbl val="0"/>
      </c:catAx>
      <c:valAx>
        <c:axId val="113878144"/>
        <c:scaling>
          <c:orientation val="minMax"/>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13859968"/>
        <c:crosses val="autoZero"/>
        <c:crossBetween val="between"/>
      </c:valAx>
      <c:spPr>
        <a:noFill/>
        <a:ln w="25400">
          <a:noFill/>
        </a:ln>
      </c:spPr>
    </c:plotArea>
    <c:plotVisOnly val="0"/>
    <c:dispBlanksAs val="gap"/>
    <c:showDLblsOverMax val="0"/>
  </c:chart>
  <c:spPr>
    <a:solidFill>
      <a:srgbClr val="FFFFFF"/>
    </a:solidFill>
    <a:ln w="9525">
      <a:noFill/>
    </a:ln>
  </c:spPr>
  <c:txPr>
    <a:bodyPr/>
    <a:lstStyle/>
    <a:p>
      <a:pPr>
        <a:defRPr sz="1000" b="0" i="0" u="none" strike="noStrike" baseline="0">
          <a:solidFill>
            <a:srgbClr val="000000"/>
          </a:solidFill>
          <a:latin typeface="AGaramond"/>
          <a:ea typeface="AGaramond"/>
          <a:cs typeface="AGaramond"/>
        </a:defRPr>
      </a:pPr>
      <a:endParaRPr lang="en-US"/>
    </a:p>
  </c:txPr>
  <c:printSettings>
    <c:headerFooter alignWithMargins="0"/>
    <c:pageMargins b="1" l="0.75000000000000289" r="0.75000000000000289"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16</xdr:col>
      <xdr:colOff>409575</xdr:colOff>
      <xdr:row>10</xdr:row>
      <xdr:rowOff>66674</xdr:rowOff>
    </xdr:from>
    <xdr:to>
      <xdr:col>38</xdr:col>
      <xdr:colOff>9525</xdr:colOff>
      <xdr:row>45</xdr:row>
      <xdr:rowOff>161924</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104775</xdr:colOff>
      <xdr:row>0</xdr:row>
      <xdr:rowOff>142875</xdr:rowOff>
    </xdr:from>
    <xdr:to>
      <xdr:col>18</xdr:col>
      <xdr:colOff>419100</xdr:colOff>
      <xdr:row>10</xdr:row>
      <xdr:rowOff>43390</xdr:rowOff>
    </xdr:to>
    <xdr:sp macro="" textlink="">
      <xdr:nvSpPr>
        <xdr:cNvPr id="3" name="Oval Callout 2">
          <a:extLst>
            <a:ext uri="{FF2B5EF4-FFF2-40B4-BE49-F238E27FC236}">
              <a16:creationId xmlns:a16="http://schemas.microsoft.com/office/drawing/2014/main" id="{00000000-0008-0000-0000-000003000000}"/>
            </a:ext>
          </a:extLst>
        </xdr:cNvPr>
        <xdr:cNvSpPr/>
      </xdr:nvSpPr>
      <xdr:spPr>
        <a:xfrm>
          <a:off x="10506075" y="142875"/>
          <a:ext cx="1609725" cy="1853140"/>
        </a:xfrm>
        <a:prstGeom prst="wedgeEllipseCallout">
          <a:avLst>
            <a:gd name="adj1" fmla="val 84955"/>
            <a:gd name="adj2" fmla="val 149831"/>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state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0</xdr:colOff>
      <xdr:row>83</xdr:row>
      <xdr:rowOff>0</xdr:rowOff>
    </xdr:from>
    <xdr:to>
      <xdr:col>19</xdr:col>
      <xdr:colOff>0</xdr:colOff>
      <xdr:row>106</xdr:row>
      <xdr:rowOff>0</xdr:rowOff>
    </xdr:to>
    <xdr:graphicFrame macro="">
      <xdr:nvGraphicFramePr>
        <xdr:cNvPr id="1067" name="Chart 1">
          <a:extLst>
            <a:ext uri="{FF2B5EF4-FFF2-40B4-BE49-F238E27FC236}">
              <a16:creationId xmlns:a16="http://schemas.microsoft.com/office/drawing/2014/main" id="{00000000-0008-0000-0300-00002B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19</xdr:col>
      <xdr:colOff>0</xdr:colOff>
      <xdr:row>111</xdr:row>
      <xdr:rowOff>0</xdr:rowOff>
    </xdr:from>
    <xdr:to>
      <xdr:col>19</xdr:col>
      <xdr:colOff>0</xdr:colOff>
      <xdr:row>133</xdr:row>
      <xdr:rowOff>0</xdr:rowOff>
    </xdr:to>
    <xdr:graphicFrame macro="">
      <xdr:nvGraphicFramePr>
        <xdr:cNvPr id="1068" name="Chart 2">
          <a:extLst>
            <a:ext uri="{FF2B5EF4-FFF2-40B4-BE49-F238E27FC236}">
              <a16:creationId xmlns:a16="http://schemas.microsoft.com/office/drawing/2014/main" id="{00000000-0008-0000-0300-00002C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nces.ed.gov/" TargetMode="Externa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www.nces.ed.gov/" TargetMode="External"/><Relationship Id="rId7" Type="http://schemas.openxmlformats.org/officeDocument/2006/relationships/comments" Target="../comments2.xm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www.nces.ed.gov/" TargetMode="External"/></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http://www.nces.ed.gov/" TargetMode="External"/><Relationship Id="rId7" Type="http://schemas.openxmlformats.org/officeDocument/2006/relationships/printerSettings" Target="../printerSettings/printerSettings4.bin"/><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6" Type="http://schemas.openxmlformats.org/officeDocument/2006/relationships/hyperlink" Target="http://www.nces.ed.gov/" TargetMode="External"/><Relationship Id="rId5" Type="http://schemas.openxmlformats.org/officeDocument/2006/relationships/hyperlink" Target="http://www.nces.ed.gov/" TargetMode="External"/><Relationship Id="rId10" Type="http://schemas.openxmlformats.org/officeDocument/2006/relationships/comments" Target="../comments3.xml"/><Relationship Id="rId4" Type="http://schemas.openxmlformats.org/officeDocument/2006/relationships/hyperlink" Target="http://www.nces.ed.gov/" TargetMode="External"/><Relationship Id="rId9"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8" Type="http://schemas.openxmlformats.org/officeDocument/2006/relationships/vmlDrawing" Target="../drawings/vmlDrawing5.vml"/><Relationship Id="rId3" Type="http://schemas.openxmlformats.org/officeDocument/2006/relationships/hyperlink" Target="http://www.nces.ed.gov/" TargetMode="External"/><Relationship Id="rId7" Type="http://schemas.openxmlformats.org/officeDocument/2006/relationships/printerSettings" Target="../printerSettings/printerSettings6.bin"/><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6" Type="http://schemas.openxmlformats.org/officeDocument/2006/relationships/hyperlink" Target="http://www.nces.ed.gov/" TargetMode="External"/><Relationship Id="rId5" Type="http://schemas.openxmlformats.org/officeDocument/2006/relationships/hyperlink" Target="http://www.nces.ed.gov/" TargetMode="External"/><Relationship Id="rId4" Type="http://schemas.openxmlformats.org/officeDocument/2006/relationships/hyperlink" Target="http://www.nces.ed.gov/" TargetMode="External"/><Relationship Id="rId9" Type="http://schemas.openxmlformats.org/officeDocument/2006/relationships/comments" Target="../comments5.xml"/></Relationships>
</file>

<file path=xl/worksheets/_rels/sheet7.xml.rels><?xml version="1.0" encoding="UTF-8" standalone="yes"?>
<Relationships xmlns="http://schemas.openxmlformats.org/package/2006/relationships"><Relationship Id="rId8" Type="http://schemas.openxmlformats.org/officeDocument/2006/relationships/comments" Target="../comments6.xml"/><Relationship Id="rId3" Type="http://schemas.openxmlformats.org/officeDocument/2006/relationships/hyperlink" Target="http://www.nces.ed.gov/" TargetMode="External"/><Relationship Id="rId7" Type="http://schemas.openxmlformats.org/officeDocument/2006/relationships/vmlDrawing" Target="../drawings/vmlDrawing6.vm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6" Type="http://schemas.openxmlformats.org/officeDocument/2006/relationships/printerSettings" Target="../printerSettings/printerSettings7.bin"/><Relationship Id="rId5" Type="http://schemas.openxmlformats.org/officeDocument/2006/relationships/hyperlink" Target="http://www.nces.ed.gov/" TargetMode="External"/><Relationship Id="rId4" Type="http://schemas.openxmlformats.org/officeDocument/2006/relationships/hyperlink" Target="http://www.nces.ed.gov/"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abColor indexed="16"/>
    <pageSetUpPr fitToPage="1"/>
  </sheetPr>
  <dimension ref="A1:U73"/>
  <sheetViews>
    <sheetView showGridLines="0" tabSelected="1" view="pageBreakPreview" topLeftCell="A40" zoomScaleNormal="75" zoomScaleSheetLayoutView="100" workbookViewId="0">
      <selection activeCell="A72" sqref="A72:P72"/>
    </sheetView>
  </sheetViews>
  <sheetFormatPr defaultColWidth="9.81640625" defaultRowHeight="12.5"/>
  <cols>
    <col min="1" max="1" width="8.1796875" style="1" customWidth="1"/>
    <col min="2" max="2" width="12.81640625" style="1" customWidth="1"/>
    <col min="3" max="3" width="9" style="1" customWidth="1"/>
    <col min="4" max="4" width="10.81640625" style="1" customWidth="1"/>
    <col min="5" max="11" width="9" style="1" customWidth="1"/>
    <col min="12" max="12" width="14.08984375" style="1" customWidth="1"/>
    <col min="13" max="13" width="9" style="1" customWidth="1"/>
    <col min="14" max="14" width="14.54296875" style="1" customWidth="1"/>
    <col min="15" max="16" width="9" style="1" customWidth="1"/>
    <col min="17" max="16384" width="9.81640625" style="1"/>
  </cols>
  <sheetData>
    <row r="1" spans="1:21" ht="12.75" customHeight="1">
      <c r="A1" s="3" t="s">
        <v>234</v>
      </c>
      <c r="B1" s="2"/>
      <c r="C1" s="2"/>
      <c r="D1" s="2"/>
      <c r="E1" s="2"/>
      <c r="F1" s="2"/>
    </row>
    <row r="2" spans="1:21" ht="15" customHeight="1">
      <c r="A2" s="3" t="s">
        <v>221</v>
      </c>
      <c r="B2" s="2"/>
      <c r="C2" s="2"/>
      <c r="D2" s="2"/>
      <c r="E2" s="2"/>
      <c r="F2" s="2"/>
      <c r="G2" s="75"/>
    </row>
    <row r="3" spans="1:21">
      <c r="C3" s="2"/>
      <c r="D3" s="2"/>
    </row>
    <row r="4" spans="1:21" ht="13.5" customHeight="1">
      <c r="A4" s="13"/>
      <c r="B4" s="13"/>
      <c r="C4" s="14" t="s">
        <v>47</v>
      </c>
      <c r="D4" s="15"/>
      <c r="E4" s="14" t="s">
        <v>122</v>
      </c>
      <c r="F4" s="14"/>
      <c r="G4" s="14"/>
      <c r="H4" s="14"/>
      <c r="I4" s="14"/>
      <c r="J4" s="14"/>
      <c r="K4" s="14"/>
      <c r="L4" s="14"/>
      <c r="M4" s="52"/>
      <c r="N4" s="14"/>
      <c r="O4" s="14"/>
      <c r="P4" s="14"/>
    </row>
    <row r="5" spans="1:21" ht="30" customHeight="1">
      <c r="A5" s="16"/>
      <c r="B5" s="16"/>
      <c r="C5" s="4"/>
      <c r="D5" s="22" t="s">
        <v>180</v>
      </c>
      <c r="E5" s="20" t="s">
        <v>124</v>
      </c>
      <c r="F5" s="17"/>
      <c r="G5" s="20" t="s">
        <v>177</v>
      </c>
      <c r="H5" s="53"/>
      <c r="I5" s="17" t="s">
        <v>166</v>
      </c>
      <c r="J5" s="53"/>
      <c r="K5" s="17" t="s">
        <v>218</v>
      </c>
      <c r="L5" s="18"/>
      <c r="M5" s="17"/>
      <c r="N5" s="19"/>
      <c r="O5" s="20" t="s">
        <v>219</v>
      </c>
      <c r="P5" s="14"/>
      <c r="U5" s="138">
        <f>3900/C8</f>
        <v>5.595890607512842E-2</v>
      </c>
    </row>
    <row r="6" spans="1:21" ht="15" customHeight="1">
      <c r="A6" s="16"/>
      <c r="B6" s="16"/>
      <c r="C6" s="4"/>
      <c r="D6" s="106" t="s">
        <v>238</v>
      </c>
      <c r="G6" s="23"/>
      <c r="H6" s="54"/>
      <c r="I6" s="55"/>
      <c r="J6" s="54" t="s">
        <v>161</v>
      </c>
      <c r="K6" s="13"/>
      <c r="L6" s="21" t="s">
        <v>220</v>
      </c>
      <c r="M6" s="13" t="s">
        <v>161</v>
      </c>
      <c r="N6" s="21" t="s">
        <v>220</v>
      </c>
      <c r="O6" s="1" t="s">
        <v>161</v>
      </c>
      <c r="P6" s="1" t="s">
        <v>161</v>
      </c>
    </row>
    <row r="7" spans="1:21" s="131" customFormat="1" ht="15" customHeight="1">
      <c r="A7" s="133"/>
      <c r="B7" s="133"/>
      <c r="C7" s="134" t="s">
        <v>236</v>
      </c>
      <c r="D7" s="134" t="s">
        <v>236</v>
      </c>
      <c r="E7" s="135" t="s">
        <v>228</v>
      </c>
      <c r="F7" s="134" t="s">
        <v>236</v>
      </c>
      <c r="G7" s="135" t="s">
        <v>228</v>
      </c>
      <c r="H7" s="134" t="s">
        <v>236</v>
      </c>
      <c r="I7" s="135" t="s">
        <v>228</v>
      </c>
      <c r="J7" s="134" t="s">
        <v>236</v>
      </c>
      <c r="K7" s="135" t="s">
        <v>228</v>
      </c>
      <c r="L7" s="136" t="s">
        <v>242</v>
      </c>
      <c r="M7" s="134" t="s">
        <v>236</v>
      </c>
      <c r="N7" s="136" t="s">
        <v>242</v>
      </c>
      <c r="O7" s="135" t="s">
        <v>228</v>
      </c>
      <c r="P7" s="134" t="s">
        <v>236</v>
      </c>
      <c r="R7" s="137"/>
    </row>
    <row r="8" spans="1:21" s="12" customFormat="1" ht="13.5" customHeight="1">
      <c r="A8" s="25" t="s">
        <v>208</v>
      </c>
      <c r="B8" s="25"/>
      <c r="C8" s="25">
        <f>+'Total Doctorates'!AZ4</f>
        <v>69694</v>
      </c>
      <c r="D8" s="68">
        <f>+(('Total Doctorates'!AZ4-'Total Doctorates'!AU4)/'Total Doctorates'!AU4)*100</f>
        <v>8.2776621197526641</v>
      </c>
      <c r="E8" s="56">
        <f>(Public!X4/'Total Doctorates'!AU4)*100</f>
        <v>64.86499083366995</v>
      </c>
      <c r="F8" s="68">
        <f>+(Public!AC4/'Total Doctorates'!AZ4)*100</f>
        <v>64.138950268315781</v>
      </c>
      <c r="G8" s="56">
        <f>+(Gender!CR4/'Total Doctorates'!AU4)*100</f>
        <v>49.156386912345027</v>
      </c>
      <c r="H8" s="68">
        <f>+(Gender!CW4/'Total Doctorates'!AZ4)*100</f>
        <v>49.669985938531291</v>
      </c>
      <c r="I8" s="56">
        <f>+('Hispanic &amp; Non-resident'!AZ4/'Total Doctorates'!AU4)*100</f>
        <v>28.409408694031008</v>
      </c>
      <c r="J8" s="68">
        <f>+('Hispanic &amp; Non-resident'!BE4/'Total Doctorates'!AZ4)*100</f>
        <v>29.090022096593682</v>
      </c>
      <c r="K8" s="56">
        <f>+(black!AC4/'all race'!AC4)*100</f>
        <v>9.3548919320244188</v>
      </c>
      <c r="L8" s="80">
        <f>+(black!BZ4/black!AC4)*100</f>
        <v>16.805240614764426</v>
      </c>
      <c r="M8" s="56">
        <f>+(black!AH4/'all race'!AH4)*100</f>
        <v>10.5814937813375</v>
      </c>
      <c r="N8" s="80">
        <f>+(black!CE4/black!AH4)*100</f>
        <v>10.071794871794872</v>
      </c>
      <c r="O8" s="103">
        <f>+('Hispanic &amp; Non-resident'!X4/'all race'!AC4)*100</f>
        <v>6.5783581210078488</v>
      </c>
      <c r="P8" s="90">
        <f>+('Hispanic &amp; Non-resident'!AC4/'all race'!AH4)*100</f>
        <v>8.265503244991427</v>
      </c>
    </row>
    <row r="9" spans="1:21" s="12" customFormat="1" ht="13.5" customHeight="1">
      <c r="A9" s="26" t="s">
        <v>50</v>
      </c>
      <c r="B9" s="26"/>
      <c r="C9" s="26">
        <f>+'Total Doctorates'!AZ5</f>
        <v>23988</v>
      </c>
      <c r="D9" s="69">
        <f>+(('Total Doctorates'!AZ5-'Total Doctorates'!AU5)/'Total Doctorates'!AU5)*100</f>
        <v>11.561715189284717</v>
      </c>
      <c r="E9" s="65">
        <f>(Public!X5/'Total Doctorates'!AU5)*100</f>
        <v>74.797693237838331</v>
      </c>
      <c r="F9" s="69">
        <f>+(Public!AC5/'Total Doctorates'!AZ5)*100</f>
        <v>74.512256128064038</v>
      </c>
      <c r="G9" s="65">
        <f>+(Gender!CR5/'Total Doctorates'!AU5)*100</f>
        <v>50.13952190493908</v>
      </c>
      <c r="H9" s="69">
        <f>+(Gender!CW5/'Total Doctorates'!AZ5)*100</f>
        <v>51.192262798065698</v>
      </c>
      <c r="I9" s="65">
        <f>+('Hispanic &amp; Non-resident'!AZ5/'Total Doctorates'!AU5)*100</f>
        <v>27.462561622174679</v>
      </c>
      <c r="J9" s="69">
        <f>+('Hispanic &amp; Non-resident'!BE5/'Total Doctorates'!AZ5)*100</f>
        <v>27.48874437218609</v>
      </c>
      <c r="K9" s="65">
        <f>+(black!AC5/'all race'!AC5)*100</f>
        <v>14.049919484702095</v>
      </c>
      <c r="L9" s="81">
        <f>+(black!BZ5/black!AC5)*100</f>
        <v>24.737344794651385</v>
      </c>
      <c r="M9" s="65">
        <f>+(black!AH5/'all race'!AH5)*100</f>
        <v>15.081967213114755</v>
      </c>
      <c r="N9" s="91">
        <f>+(black!CE5/black!AH5)*100</f>
        <v>16.062801932367147</v>
      </c>
      <c r="O9" s="104">
        <f>+('Hispanic &amp; Non-resident'!X5/'all race'!AC5)*100</f>
        <v>6.9444444444444446</v>
      </c>
      <c r="P9" s="91">
        <f>+('Hispanic &amp; Non-resident'!AC5/'all race'!AH5)*100</f>
        <v>8.4578020643594414</v>
      </c>
    </row>
    <row r="10" spans="1:21">
      <c r="A10" s="26" t="s">
        <v>209</v>
      </c>
      <c r="B10" s="26"/>
      <c r="C10" s="65">
        <f>+'Total Doctorates'!AZ6</f>
        <v>34.419031767440529</v>
      </c>
      <c r="D10" s="69"/>
      <c r="E10" s="65"/>
      <c r="F10" s="69"/>
      <c r="G10" s="65"/>
      <c r="H10" s="69"/>
      <c r="I10" s="65"/>
      <c r="J10" s="69"/>
      <c r="K10" s="65"/>
      <c r="L10" s="81"/>
      <c r="M10" s="65"/>
      <c r="N10" s="81"/>
      <c r="O10" s="65"/>
      <c r="P10" s="91"/>
    </row>
    <row r="11" spans="1:21">
      <c r="A11" s="27" t="s">
        <v>15</v>
      </c>
      <c r="B11" s="27"/>
      <c r="C11" s="27">
        <f>+'Total Doctorates'!AZ7</f>
        <v>763</v>
      </c>
      <c r="D11" s="70">
        <f>+(('Total Doctorates'!AZ7-'Total Doctorates'!AU7)/'Total Doctorates'!AU7)*100</f>
        <v>5.9722222222222223</v>
      </c>
      <c r="E11" s="66">
        <f>(Public!X7/'Total Doctorates'!AU7)*100</f>
        <v>95.416666666666671</v>
      </c>
      <c r="F11" s="70">
        <f>+(Public!AC7/'Total Doctorates'!AZ7)*100</f>
        <v>94.495412844036693</v>
      </c>
      <c r="G11" s="66">
        <f>+(Gender!CR7/'Total Doctorates'!AU7)*100</f>
        <v>49.027777777777779</v>
      </c>
      <c r="H11" s="70">
        <f>+(Gender!CW7/'Total Doctorates'!AZ7)*100</f>
        <v>48.885976408912192</v>
      </c>
      <c r="I11" s="66">
        <f>+('Hispanic &amp; Non-resident'!AZ7/'Total Doctorates'!AU7)*100</f>
        <v>29.305555555555557</v>
      </c>
      <c r="J11" s="70">
        <f>+('Hispanic &amp; Non-resident'!BE7/'Total Doctorates'!AZ7)*100</f>
        <v>28.964613368283093</v>
      </c>
      <c r="K11" s="66">
        <f>+(black!AC7/'all race'!AC7)*100</f>
        <v>18.2</v>
      </c>
      <c r="L11" s="73">
        <f>+(black!BZ7/black!AC7)*100</f>
        <v>13.186813186813188</v>
      </c>
      <c r="M11" s="66">
        <f>+(black!AH7/'all race'!AH7)*100</f>
        <v>16.037735849056602</v>
      </c>
      <c r="N11" s="73">
        <f>+(black!CE7/black!AH7)*100</f>
        <v>14.117647058823529</v>
      </c>
      <c r="O11" s="66">
        <f>+('Hispanic &amp; Non-resident'!X7/'all race'!AC7)*100</f>
        <v>1.7999999999999998</v>
      </c>
      <c r="P11" s="92">
        <f>+('Hispanic &amp; Non-resident'!AC7/'all race'!AH7)*100</f>
        <v>2.6415094339622645</v>
      </c>
    </row>
    <row r="12" spans="1:21">
      <c r="A12" s="27" t="s">
        <v>16</v>
      </c>
      <c r="B12" s="27"/>
      <c r="C12" s="27">
        <f>+'Total Doctorates'!AZ8</f>
        <v>321</v>
      </c>
      <c r="D12" s="70">
        <f>+(('Total Doctorates'!AZ8-'Total Doctorates'!AU8)/'Total Doctorates'!AU8)*100</f>
        <v>17.582417582417584</v>
      </c>
      <c r="E12" s="66">
        <f>(Public!X8/'Total Doctorates'!AU8)*100</f>
        <v>97.069597069597066</v>
      </c>
      <c r="F12" s="70">
        <f>+(Public!AC8/'Total Doctorates'!AZ8)*100</f>
        <v>98.753894080996886</v>
      </c>
      <c r="G12" s="66">
        <f>+(Gender!CR8/'Total Doctorates'!AU8)*100</f>
        <v>51.648351648351657</v>
      </c>
      <c r="H12" s="70">
        <f>+(Gender!CW8/'Total Doctorates'!AZ8)*100</f>
        <v>49.844236760124609</v>
      </c>
      <c r="I12" s="66">
        <f>+('Hispanic &amp; Non-resident'!AZ8/'Total Doctorates'!AU8)*100</f>
        <v>29.304029304029307</v>
      </c>
      <c r="J12" s="70">
        <f>+('Hispanic &amp; Non-resident'!BE8/'Total Doctorates'!AZ8)*100</f>
        <v>29.595015576323984</v>
      </c>
      <c r="K12" s="66">
        <f>+(black!AC8/'all race'!AC8)*100</f>
        <v>13.541666666666666</v>
      </c>
      <c r="L12" s="73">
        <f>+(black!BZ8/black!AC8)*100</f>
        <v>0</v>
      </c>
      <c r="M12" s="66">
        <f>+(black!AH8/'all race'!AH8)*100</f>
        <v>15.111111111111111</v>
      </c>
      <c r="N12" s="73">
        <f>+(black!CE8/black!AH8)*100</f>
        <v>0</v>
      </c>
      <c r="O12" s="66">
        <f>+('Hispanic &amp; Non-resident'!X8/'all race'!AC8)*100</f>
        <v>2.083333333333333</v>
      </c>
      <c r="P12" s="92">
        <f>+('Hispanic &amp; Non-resident'!AC8/'all race'!AH8)*100</f>
        <v>4</v>
      </c>
    </row>
    <row r="13" spans="1:21">
      <c r="A13" s="27" t="s">
        <v>49</v>
      </c>
      <c r="B13" s="27"/>
      <c r="C13" s="27">
        <f>+'Total Doctorates'!AZ9</f>
        <v>404</v>
      </c>
      <c r="D13" s="70">
        <f>+(('Total Doctorates'!AZ9-'Total Doctorates'!AU9)/'Total Doctorates'!AU9)*100</f>
        <v>44.285714285714285</v>
      </c>
      <c r="E13" s="66">
        <f>(Public!X9/'Total Doctorates'!AU9)*100</f>
        <v>76.071428571428569</v>
      </c>
      <c r="F13" s="70">
        <f>+(Public!AC9/'Total Doctorates'!AZ9)*100</f>
        <v>68.564356435643575</v>
      </c>
      <c r="G13" s="66">
        <f>+(Gender!CR9/'Total Doctorates'!AU9)*100</f>
        <v>50.714285714285708</v>
      </c>
      <c r="H13" s="70">
        <f>+(Gender!CW9/'Total Doctorates'!AZ9)*100</f>
        <v>50</v>
      </c>
      <c r="I13" s="66">
        <f>+('Hispanic &amp; Non-resident'!AZ9/'Total Doctorates'!AU9)*100</f>
        <v>32.5</v>
      </c>
      <c r="J13" s="70">
        <f>+('Hispanic &amp; Non-resident'!BE9/'Total Doctorates'!AZ9)*100</f>
        <v>27.475247524752476</v>
      </c>
      <c r="K13" s="66">
        <f>+(black!AC9/'all race'!AC9)*100</f>
        <v>6.25</v>
      </c>
      <c r="L13" s="73">
        <f>+(black!BZ9/black!AC9)*100</f>
        <v>44.444444444444443</v>
      </c>
      <c r="M13" s="66">
        <f>+(black!AH9/'all race'!AH9)*100</f>
        <v>18.978102189781019</v>
      </c>
      <c r="N13" s="73">
        <f>+(black!CE9/black!AH9)*100</f>
        <v>11.538461538461538</v>
      </c>
      <c r="O13" s="66">
        <f>+('Hispanic &amp; Non-resident'!X9/'all race'!AC9)*100</f>
        <v>4.1666666666666661</v>
      </c>
      <c r="P13" s="92">
        <f>+('Hispanic &amp; Non-resident'!AC9/'all race'!AH9)*100</f>
        <v>3.2846715328467155</v>
      </c>
    </row>
    <row r="14" spans="1:21">
      <c r="A14" s="27" t="s">
        <v>17</v>
      </c>
      <c r="B14" s="27"/>
      <c r="C14" s="27">
        <f>+'Total Doctorates'!AZ10</f>
        <v>3457</v>
      </c>
      <c r="D14" s="70">
        <f>+(('Total Doctorates'!AZ10-'Total Doctorates'!AU10)/'Total Doctorates'!AU10)*100</f>
        <v>6.2711343375345843</v>
      </c>
      <c r="E14" s="66">
        <f>(Public!X10/'Total Doctorates'!AU10)*100</f>
        <v>65.416538579772521</v>
      </c>
      <c r="F14" s="70">
        <f>+(Public!AC10/'Total Doctorates'!AZ10)*100</f>
        <v>63.494359271044253</v>
      </c>
      <c r="G14" s="66">
        <f>+(Gender!CR10/'Total Doctorates'!AU10)*100</f>
        <v>53.550568705810022</v>
      </c>
      <c r="H14" s="70">
        <f>+(Gender!CW10/'Total Doctorates'!AZ10)*100</f>
        <v>54.093144344807641</v>
      </c>
      <c r="I14" s="66">
        <f>+('Hispanic &amp; Non-resident'!AZ10/'Total Doctorates'!AU10)*100</f>
        <v>22.871195819243777</v>
      </c>
      <c r="J14" s="70">
        <f>+('Hispanic &amp; Non-resident'!BE10/'Total Doctorates'!AZ10)*100</f>
        <v>26.930864911773213</v>
      </c>
      <c r="K14" s="66">
        <f>+(black!AC10/'all race'!AC10)*100</f>
        <v>17.959352965574453</v>
      </c>
      <c r="L14" s="73">
        <f>+(black!BZ10/black!AC10)*100</f>
        <v>7.3903002309468819</v>
      </c>
      <c r="M14" s="66">
        <f>+(black!AH10/'all race'!AH10)*100</f>
        <v>17.923728813559322</v>
      </c>
      <c r="N14" s="73">
        <f>+(black!CE10/black!AH10)*100</f>
        <v>4.2553191489361701</v>
      </c>
      <c r="O14" s="66">
        <f>+('Hispanic &amp; Non-resident'!X10/'all race'!AC10)*100</f>
        <v>14.309415180423061</v>
      </c>
      <c r="P14" s="92">
        <f>+('Hispanic &amp; Non-resident'!AC10/'all race'!AH10)*100</f>
        <v>17.838983050847457</v>
      </c>
    </row>
    <row r="15" spans="1:21">
      <c r="A15" s="26" t="s">
        <v>18</v>
      </c>
      <c r="B15" s="26"/>
      <c r="C15" s="26">
        <f>+'Total Doctorates'!AZ11</f>
        <v>1871</v>
      </c>
      <c r="D15" s="69">
        <f>+(('Total Doctorates'!AZ11-'Total Doctorates'!AU11)/'Total Doctorates'!AU11)*100</f>
        <v>-0.90042372881355937</v>
      </c>
      <c r="E15" s="65">
        <f>(Public!X11/'Total Doctorates'!AU11)*100</f>
        <v>71.980932203389841</v>
      </c>
      <c r="F15" s="69">
        <f>+(Public!AC11/'Total Doctorates'!AZ11)*100</f>
        <v>80.758952431854624</v>
      </c>
      <c r="G15" s="65">
        <f>+(Gender!CR11/'Total Doctorates'!AU11)*100</f>
        <v>50.105932203389834</v>
      </c>
      <c r="H15" s="69">
        <f>+(Gender!CW11/'Total Doctorates'!AZ11)*100</f>
        <v>48.20951362907536</v>
      </c>
      <c r="I15" s="65">
        <f>+('Hispanic &amp; Non-resident'!AZ11/'Total Doctorates'!AU11)*100</f>
        <v>28.495762711864408</v>
      </c>
      <c r="J15" s="69">
        <f>+('Hispanic &amp; Non-resident'!BE11/'Total Doctorates'!AZ11)*100</f>
        <v>30.197755211117048</v>
      </c>
      <c r="K15" s="65">
        <f>+(black!AC11/'all race'!AC11)*100</f>
        <v>25</v>
      </c>
      <c r="L15" s="81">
        <f>+(black!BZ11/black!AC11)*100</f>
        <v>49.386503067484661</v>
      </c>
      <c r="M15" s="65">
        <f>+(black!AH11/'all race'!AH11)*100</f>
        <v>19.316375198728139</v>
      </c>
      <c r="N15" s="81">
        <f>+(black!CE11/black!AH11)*100</f>
        <v>10.699588477366255</v>
      </c>
      <c r="O15" s="65">
        <f>+('Hispanic &amp; Non-resident'!X11/'all race'!AC11)*100</f>
        <v>3.7576687116564416</v>
      </c>
      <c r="P15" s="91">
        <f>+('Hispanic &amp; Non-resident'!AC11/'all race'!AH11)*100</f>
        <v>3.8950715421303657</v>
      </c>
    </row>
    <row r="16" spans="1:21">
      <c r="A16" s="26" t="s">
        <v>19</v>
      </c>
      <c r="B16" s="26"/>
      <c r="C16" s="26">
        <f>+'Total Doctorates'!AZ12</f>
        <v>757</v>
      </c>
      <c r="D16" s="69">
        <f>+(('Total Doctorates'!AZ12-'Total Doctorates'!AU12)/'Total Doctorates'!AU12)*100</f>
        <v>28.960817717206133</v>
      </c>
      <c r="E16" s="65">
        <f>(Public!X12/'Total Doctorates'!AU12)*100</f>
        <v>83.134582623509374</v>
      </c>
      <c r="F16" s="69">
        <f>+(Public!AC12/'Total Doctorates'!AZ12)*100</f>
        <v>68.692206076618234</v>
      </c>
      <c r="G16" s="65">
        <f>+(Gender!CR12/'Total Doctorates'!AU12)*100</f>
        <v>51.277683134582617</v>
      </c>
      <c r="H16" s="69">
        <f>+(Gender!CW12/'Total Doctorates'!AZ12)*100</f>
        <v>47.424042272126812</v>
      </c>
      <c r="I16" s="65">
        <f>+('Hispanic &amp; Non-resident'!AZ12/'Total Doctorates'!AU12)*100</f>
        <v>27.597955706984667</v>
      </c>
      <c r="J16" s="69">
        <f>+('Hispanic &amp; Non-resident'!BE12/'Total Doctorates'!AZ12)*100</f>
        <v>24.570673712021136</v>
      </c>
      <c r="K16" s="65">
        <f>+(black!AC12/'all race'!AC12)*100</f>
        <v>9.5959595959595951</v>
      </c>
      <c r="L16" s="81">
        <f>+(black!BZ12/black!AC12)*100</f>
        <v>0</v>
      </c>
      <c r="M16" s="65">
        <f>+(black!AH12/'all race'!AH12)*100</f>
        <v>7.9303675048355888</v>
      </c>
      <c r="N16" s="81">
        <f>+(black!CE12/black!AH12)*100</f>
        <v>0</v>
      </c>
      <c r="O16" s="65">
        <f>+('Hispanic &amp; Non-resident'!X12/'all race'!AC12)*100</f>
        <v>2.0202020202020203</v>
      </c>
      <c r="P16" s="91">
        <f>+('Hispanic &amp; Non-resident'!AC12/'all race'!AH12)*100</f>
        <v>3.8684719535783367</v>
      </c>
    </row>
    <row r="17" spans="1:16">
      <c r="A17" s="26" t="s">
        <v>20</v>
      </c>
      <c r="B17" s="26"/>
      <c r="C17" s="26">
        <f>+'Total Doctorates'!AZ13</f>
        <v>720</v>
      </c>
      <c r="D17" s="69">
        <f>+(('Total Doctorates'!AZ13-'Total Doctorates'!AU13)/'Total Doctorates'!AU13)*100</f>
        <v>6.0382916053019144</v>
      </c>
      <c r="E17" s="65">
        <f>(Public!X13/'Total Doctorates'!AU13)*100</f>
        <v>83.799705449189986</v>
      </c>
      <c r="F17" s="69">
        <f>+(Public!AC13/'Total Doctorates'!AZ13)*100</f>
        <v>79.444444444444443</v>
      </c>
      <c r="G17" s="65">
        <f>+(Gender!CR13/'Total Doctorates'!AU13)*100</f>
        <v>48.895434462444769</v>
      </c>
      <c r="H17" s="69">
        <f>+(Gender!CW13/'Total Doctorates'!AZ13)*100</f>
        <v>52.638888888888893</v>
      </c>
      <c r="I17" s="65">
        <f>+('Hispanic &amp; Non-resident'!AZ13/'Total Doctorates'!AU13)*100</f>
        <v>36.671575846833576</v>
      </c>
      <c r="J17" s="69">
        <f>+('Hispanic &amp; Non-resident'!BE13/'Total Doctorates'!AZ13)*100</f>
        <v>31.111111111111111</v>
      </c>
      <c r="K17" s="65">
        <f>+(black!AC13/'all race'!AC13)*100</f>
        <v>16.949152542372879</v>
      </c>
      <c r="L17" s="81">
        <f>+(black!BZ13/black!AC13)*100</f>
        <v>21.428571428571427</v>
      </c>
      <c r="M17" s="65">
        <f>+(black!AH13/'all race'!AH13)*100</f>
        <v>20.425531914893615</v>
      </c>
      <c r="N17" s="81">
        <f>+(black!CE13/black!AH13)*100</f>
        <v>27.083333333333332</v>
      </c>
      <c r="O17" s="65">
        <f>+('Hispanic &amp; Non-resident'!X13/'all race'!AC13)*100</f>
        <v>4.8426150121065374</v>
      </c>
      <c r="P17" s="91">
        <f>+('Hispanic &amp; Non-resident'!AC13/'all race'!AH13)*100</f>
        <v>6.8085106382978724</v>
      </c>
    </row>
    <row r="18" spans="1:16">
      <c r="A18" s="26" t="s">
        <v>21</v>
      </c>
      <c r="B18" s="26"/>
      <c r="C18" s="26">
        <f>+'Total Doctorates'!AZ14</f>
        <v>1481</v>
      </c>
      <c r="D18" s="69">
        <f>+(('Total Doctorates'!AZ14-'Total Doctorates'!AU14)/'Total Doctorates'!AU14)*100</f>
        <v>7.2411296162201308</v>
      </c>
      <c r="E18" s="65">
        <f>(Public!X14/'Total Doctorates'!AU14)*100</f>
        <v>63.794351918899352</v>
      </c>
      <c r="F18" s="69">
        <f>+(Public!AC14/'Total Doctorates'!AZ14)*100</f>
        <v>60.297096556380822</v>
      </c>
      <c r="G18" s="65">
        <f>+(Gender!CR14/'Total Doctorates'!AU14)*100</f>
        <v>49.529326574945692</v>
      </c>
      <c r="H18" s="69">
        <f>+(Gender!CW14/'Total Doctorates'!AZ14)*100</f>
        <v>47.332883187035783</v>
      </c>
      <c r="I18" s="65">
        <f>+('Hispanic &amp; Non-resident'!AZ14/'Total Doctorates'!AU14)*100</f>
        <v>29.97827661115134</v>
      </c>
      <c r="J18" s="69">
        <f>+('Hispanic &amp; Non-resident'!BE14/'Total Doctorates'!AZ14)*100</f>
        <v>30.857528696826471</v>
      </c>
      <c r="K18" s="65">
        <f>+(black!AC14/'all race'!AC14)*100</f>
        <v>14.842903575297942</v>
      </c>
      <c r="L18" s="81">
        <f>+(black!BZ14/black!AC14)*100</f>
        <v>41.605839416058394</v>
      </c>
      <c r="M18" s="65">
        <f>+(black!AH14/'all race'!AH14)*100</f>
        <v>15.501519756838904</v>
      </c>
      <c r="N18" s="81">
        <f>+(black!CE14/black!AH14)*100</f>
        <v>45.751633986928105</v>
      </c>
      <c r="O18" s="65">
        <f>+('Hispanic &amp; Non-resident'!X14/'all race'!AC14)*100</f>
        <v>4.225352112676056</v>
      </c>
      <c r="P18" s="91">
        <f>+('Hispanic &amp; Non-resident'!AC14/'all race'!AH14)*100</f>
        <v>5.9777102330293816</v>
      </c>
    </row>
    <row r="19" spans="1:16">
      <c r="A19" s="27" t="s">
        <v>22</v>
      </c>
      <c r="B19" s="27"/>
      <c r="C19" s="27">
        <f>+'Total Doctorates'!AZ15</f>
        <v>754</v>
      </c>
      <c r="D19" s="70">
        <f>+(('Total Doctorates'!AZ15-'Total Doctorates'!AU15)/'Total Doctorates'!AU15)*100</f>
        <v>63.557483731019524</v>
      </c>
      <c r="E19" s="66">
        <f>(Public!X15/'Total Doctorates'!AU15)*100</f>
        <v>97.830802603036886</v>
      </c>
      <c r="F19" s="70">
        <f>+(Public!AC15/'Total Doctorates'!AZ15)*100</f>
        <v>86.870026525198938</v>
      </c>
      <c r="G19" s="66">
        <f>+(Gender!CR15/'Total Doctorates'!AU15)*100</f>
        <v>49.891540130151846</v>
      </c>
      <c r="H19" s="70">
        <f>+(Gender!CW15/'Total Doctorates'!AZ15)*100</f>
        <v>60.07957559681698</v>
      </c>
      <c r="I19" s="66">
        <f>+('Hispanic &amp; Non-resident'!AZ15/'Total Doctorates'!AU15)*100</f>
        <v>25.596529284164859</v>
      </c>
      <c r="J19" s="70">
        <f>+('Hispanic &amp; Non-resident'!BE15/'Total Doctorates'!AZ15)*100</f>
        <v>17.904509283819628</v>
      </c>
      <c r="K19" s="66">
        <f>+(black!AC15/'all race'!AC15)*100</f>
        <v>32.456140350877192</v>
      </c>
      <c r="L19" s="73">
        <f>+(black!BZ15/black!AC15)*100</f>
        <v>54.054054054054056</v>
      </c>
      <c r="M19" s="66">
        <f>+(black!AH15/'all race'!AH15)*100</f>
        <v>29.402261712439419</v>
      </c>
      <c r="N19" s="73">
        <f>+(black!CE15/black!AH15)*100</f>
        <v>48.35164835164835</v>
      </c>
      <c r="O19" s="66">
        <f>+('Hispanic &amp; Non-resident'!X15/'all race'!AC15)*100</f>
        <v>1.7543859649122806</v>
      </c>
      <c r="P19" s="92">
        <f>+('Hispanic &amp; Non-resident'!AC15/'all race'!AH15)*100</f>
        <v>2.4232633279483036</v>
      </c>
    </row>
    <row r="20" spans="1:16">
      <c r="A20" s="27" t="s">
        <v>23</v>
      </c>
      <c r="B20" s="27"/>
      <c r="C20" s="27">
        <f>+'Total Doctorates'!AZ16</f>
        <v>2474</v>
      </c>
      <c r="D20" s="70">
        <f>+(('Total Doctorates'!AZ16-'Total Doctorates'!AU16)/'Total Doctorates'!AU16)*100</f>
        <v>15.284249767008387</v>
      </c>
      <c r="E20" s="66">
        <f>(Public!X16/'Total Doctorates'!AU16)*100</f>
        <v>66.961789375582484</v>
      </c>
      <c r="F20" s="70">
        <f>+(Public!AC16/'Total Doctorates'!AZ16)*100</f>
        <v>64.389652384801948</v>
      </c>
      <c r="G20" s="66">
        <f>+(Gender!CR16/'Total Doctorates'!AU16)*100</f>
        <v>53.494874184529365</v>
      </c>
      <c r="H20" s="70">
        <f>+(Gender!CW16/'Total Doctorates'!AZ16)*100</f>
        <v>52.910266774454328</v>
      </c>
      <c r="I20" s="66">
        <f>+('Hispanic &amp; Non-resident'!AZ16/'Total Doctorates'!AU16)*100</f>
        <v>25.256290773532154</v>
      </c>
      <c r="J20" s="70">
        <f>+('Hispanic &amp; Non-resident'!BE16/'Total Doctorates'!AZ16)*100</f>
        <v>22.797089733225544</v>
      </c>
      <c r="K20" s="66">
        <f>+(black!AC16/'all race'!AC16)*100</f>
        <v>10.046885465505694</v>
      </c>
      <c r="L20" s="73">
        <f>+(black!BZ16/black!AC16)*100</f>
        <v>28.000000000000004</v>
      </c>
      <c r="M20" s="66">
        <f>+(black!AH16/'all race'!AH16)*100</f>
        <v>13.270405330372014</v>
      </c>
      <c r="N20" s="73">
        <f>+(black!CE16/black!AH16)*100</f>
        <v>14.644351464435147</v>
      </c>
      <c r="O20" s="66">
        <f>+('Hispanic &amp; Non-resident'!X16/'all race'!AC16)*100</f>
        <v>3.884795713328868</v>
      </c>
      <c r="P20" s="92">
        <f>+('Hispanic &amp; Non-resident'!AC16/'all race'!AH16)*100</f>
        <v>4.4975013881177128</v>
      </c>
    </row>
    <row r="21" spans="1:16">
      <c r="A21" s="27" t="s">
        <v>24</v>
      </c>
      <c r="B21" s="27"/>
      <c r="C21" s="27">
        <f>+'Total Doctorates'!AZ17</f>
        <v>559</v>
      </c>
      <c r="D21" s="70">
        <f>+(('Total Doctorates'!AZ17-'Total Doctorates'!AU17)/'Total Doctorates'!AU17)*100</f>
        <v>1.0849909584086799</v>
      </c>
      <c r="E21" s="66">
        <f>(Public!X17/'Total Doctorates'!AU17)*100</f>
        <v>88.06509945750453</v>
      </c>
      <c r="F21" s="70">
        <f>+(Public!AC17/'Total Doctorates'!AZ17)*100</f>
        <v>87.119856887298752</v>
      </c>
      <c r="G21" s="66">
        <f>+(Gender!CR17/'Total Doctorates'!AU17)*100</f>
        <v>47.55877034358047</v>
      </c>
      <c r="H21" s="70">
        <f>+(Gender!CW17/'Total Doctorates'!AZ17)*100</f>
        <v>43.828264758497312</v>
      </c>
      <c r="I21" s="66">
        <f>+('Hispanic &amp; Non-resident'!AZ17/'Total Doctorates'!AU17)*100</f>
        <v>33.996383363471971</v>
      </c>
      <c r="J21" s="70">
        <f>+('Hispanic &amp; Non-resident'!BE17/'Total Doctorates'!AZ17)*100</f>
        <v>38.103756708407872</v>
      </c>
      <c r="K21" s="66">
        <f>+(black!AC17/'all race'!AC17)*100</f>
        <v>5.7971014492753623</v>
      </c>
      <c r="L21" s="73">
        <f>+(black!BZ17/black!AC17)*100</f>
        <v>0</v>
      </c>
      <c r="M21" s="66">
        <f>+(black!AH17/'all race'!AH17)*100</f>
        <v>5.1829268292682924</v>
      </c>
      <c r="N21" s="73">
        <f>+(black!CE17/black!AH17)*100</f>
        <v>0</v>
      </c>
      <c r="O21" s="66">
        <f>+('Hispanic &amp; Non-resident'!X17/'all race'!AC17)*100</f>
        <v>3.7681159420289858</v>
      </c>
      <c r="P21" s="92">
        <f>+('Hispanic &amp; Non-resident'!AC17/'all race'!AH17)*100</f>
        <v>3.0487804878048781</v>
      </c>
    </row>
    <row r="22" spans="1:16">
      <c r="A22" s="27" t="s">
        <v>25</v>
      </c>
      <c r="B22" s="27"/>
      <c r="C22" s="27">
        <f>+'Total Doctorates'!AZ18</f>
        <v>870</v>
      </c>
      <c r="D22" s="70">
        <f>+(('Total Doctorates'!AZ18-'Total Doctorates'!AU18)/'Total Doctorates'!AU18)*100</f>
        <v>13.577023498694519</v>
      </c>
      <c r="E22" s="66">
        <f>(Public!X18/'Total Doctorates'!AU18)*100</f>
        <v>95.822454308093995</v>
      </c>
      <c r="F22" s="70">
        <f>+(Public!AC18/'Total Doctorates'!AZ18)*100</f>
        <v>96.321839080459768</v>
      </c>
      <c r="G22" s="66">
        <f>+(Gender!CR18/'Total Doctorates'!AU18)*100</f>
        <v>50.783289817232379</v>
      </c>
      <c r="H22" s="70">
        <f>+(Gender!CW18/'Total Doctorates'!AZ18)*100</f>
        <v>52.758620689655174</v>
      </c>
      <c r="I22" s="66">
        <f>+('Hispanic &amp; Non-resident'!AZ18/'Total Doctorates'!AU18)*100</f>
        <v>25.456919060052218</v>
      </c>
      <c r="J22" s="70">
        <f>+('Hispanic &amp; Non-resident'!BE18/'Total Doctorates'!AZ18)*100</f>
        <v>26.321839080459768</v>
      </c>
      <c r="K22" s="66">
        <f>+(black!AC18/'all race'!AC18)*100</f>
        <v>11.517367458866545</v>
      </c>
      <c r="L22" s="73">
        <f>+(black!BZ18/black!AC18)*100</f>
        <v>23.809523809523807</v>
      </c>
      <c r="M22" s="66">
        <f>+(black!AH18/'all race'!AH18)*100</f>
        <v>11.494252873563218</v>
      </c>
      <c r="N22" s="73">
        <f>+(black!CE18/black!AH18)*100</f>
        <v>15.714285714285714</v>
      </c>
      <c r="O22" s="66">
        <f>+('Hispanic &amp; Non-resident'!X18/'all race'!AC18)*100</f>
        <v>2.7422303473491771</v>
      </c>
      <c r="P22" s="92">
        <f>+('Hispanic &amp; Non-resident'!AC18/'all race'!AH18)*100</f>
        <v>3.284072249589491</v>
      </c>
    </row>
    <row r="23" spans="1:16">
      <c r="A23" s="26" t="s">
        <v>26</v>
      </c>
      <c r="B23" s="26"/>
      <c r="C23" s="26">
        <f>+'Total Doctorates'!AZ19</f>
        <v>1654</v>
      </c>
      <c r="D23" s="69">
        <f>+(('Total Doctorates'!AZ19-'Total Doctorates'!AU19)/'Total Doctorates'!AU19)*100</f>
        <v>24.830188679245282</v>
      </c>
      <c r="E23" s="65">
        <f>(Public!X19/'Total Doctorates'!AU19)*100</f>
        <v>64.830188679245282</v>
      </c>
      <c r="F23" s="69">
        <f>+(Public!AC19/'Total Doctorates'!AZ19)*100</f>
        <v>60.217654171704957</v>
      </c>
      <c r="G23" s="65">
        <f>+(Gender!CR19/'Total Doctorates'!AU19)*100</f>
        <v>50.415094339622648</v>
      </c>
      <c r="H23" s="69">
        <f>+(Gender!CW19/'Total Doctorates'!AZ19)*100</f>
        <v>57.617896009673522</v>
      </c>
      <c r="I23" s="65">
        <f>+('Hispanic &amp; Non-resident'!AZ19/'Total Doctorates'!AU19)*100</f>
        <v>16.226415094339622</v>
      </c>
      <c r="J23" s="69">
        <f>+('Hispanic &amp; Non-resident'!BE19/'Total Doctorates'!AZ19)*100</f>
        <v>14.691656590084643</v>
      </c>
      <c r="K23" s="65">
        <f>+(black!AC19/'all race'!AC19)*100</f>
        <v>12.764003673094582</v>
      </c>
      <c r="L23" s="81">
        <f>+(black!BZ19/black!AC19)*100</f>
        <v>22.302158273381295</v>
      </c>
      <c r="M23" s="65">
        <f>+(black!AH19/'all race'!AH19)*100</f>
        <v>17.559523809523807</v>
      </c>
      <c r="N23" s="81">
        <f>+(black!CE19/black!AH19)*100</f>
        <v>13.559322033898304</v>
      </c>
      <c r="O23" s="65">
        <f>+('Hispanic &amp; Non-resident'!X19/'all race'!AC19)*100</f>
        <v>2.3875114784205693</v>
      </c>
      <c r="P23" s="91">
        <f>+('Hispanic &amp; Non-resident'!AC19/'all race'!AH19)*100</f>
        <v>4.3154761904761907</v>
      </c>
    </row>
    <row r="24" spans="1:16">
      <c r="A24" s="26" t="s">
        <v>27</v>
      </c>
      <c r="B24" s="26"/>
      <c r="C24" s="26">
        <f>+'Total Doctorates'!AZ20</f>
        <v>5296</v>
      </c>
      <c r="D24" s="69">
        <f>+(('Total Doctorates'!AZ20-'Total Doctorates'!AU20)/'Total Doctorates'!AU20)*100</f>
        <v>12.872975277067351</v>
      </c>
      <c r="E24" s="65">
        <f>(Public!X20/'Total Doctorates'!AU20)*100</f>
        <v>77.557544757033241</v>
      </c>
      <c r="F24" s="69">
        <f>+(Public!AC20/'Total Doctorates'!AZ20)*100</f>
        <v>82.364048338368576</v>
      </c>
      <c r="G24" s="65">
        <f>+(Gender!CR20/'Total Doctorates'!AU20)*100</f>
        <v>47.527706734867856</v>
      </c>
      <c r="H24" s="69">
        <f>+(Gender!CW20/'Total Doctorates'!AZ20)*100</f>
        <v>48.640483383685797</v>
      </c>
      <c r="I24" s="65">
        <f>+('Hispanic &amp; Non-resident'!AZ20/'Total Doctorates'!AU20)*100</f>
        <v>34.121909633418582</v>
      </c>
      <c r="J24" s="69">
        <f>+('Hispanic &amp; Non-resident'!BE20/'Total Doctorates'!AZ20)*100</f>
        <v>34.799848942598189</v>
      </c>
      <c r="K24" s="65">
        <f>+(black!AC20/'all race'!AC20)*100</f>
        <v>8.9936476094951523</v>
      </c>
      <c r="L24" s="81">
        <f>+(black!BZ20/black!AC20)*100</f>
        <v>15.241635687732341</v>
      </c>
      <c r="M24" s="65">
        <f>+(black!AH20/'all race'!AH20)*100</f>
        <v>10.862329803328292</v>
      </c>
      <c r="N24" s="81">
        <f>+(black!CE20/black!AH20)*100</f>
        <v>10.584958217270195</v>
      </c>
      <c r="O24" s="65">
        <f>+('Hispanic &amp; Non-resident'!X20/'all race'!AC20)*100</f>
        <v>12.637913741223672</v>
      </c>
      <c r="P24" s="91">
        <f>+('Hispanic &amp; Non-resident'!AC20/'all race'!AH20)*100</f>
        <v>15.552193645990922</v>
      </c>
    </row>
    <row r="25" spans="1:16">
      <c r="A25" s="26" t="s">
        <v>28</v>
      </c>
      <c r="B25" s="26"/>
      <c r="C25" s="26">
        <f>+'Total Doctorates'!AZ21</f>
        <v>2387</v>
      </c>
      <c r="D25" s="69">
        <f>+(('Total Doctorates'!AZ21-'Total Doctorates'!AU21)/'Total Doctorates'!AU21)*100</f>
        <v>2.3146163737676808</v>
      </c>
      <c r="E25" s="65">
        <f>(Public!X21/'Total Doctorates'!AU21)*100</f>
        <v>73.767681097299615</v>
      </c>
      <c r="F25" s="69">
        <f>+(Public!AC21/'Total Doctorates'!AZ21)*100</f>
        <v>71.931294511939669</v>
      </c>
      <c r="G25" s="65">
        <f>+(Gender!CR21/'Total Doctorates'!AU21)*100</f>
        <v>48.735533647663956</v>
      </c>
      <c r="H25" s="69">
        <f>+(Gender!CW21/'Total Doctorates'!AZ21)*100</f>
        <v>51.571009635525769</v>
      </c>
      <c r="I25" s="65">
        <f>+('Hispanic &amp; Non-resident'!AZ21/'Total Doctorates'!AU21)*100</f>
        <v>21.517359622803259</v>
      </c>
      <c r="J25" s="69">
        <f>+('Hispanic &amp; Non-resident'!BE21/'Total Doctorates'!AZ21)*100</f>
        <v>21.365731043150397</v>
      </c>
      <c r="K25" s="65">
        <f>+(black!AC21/'all race'!AC21)*100</f>
        <v>12.258064516129032</v>
      </c>
      <c r="L25" s="81">
        <f>+(black!BZ21/black!AC21)*100</f>
        <v>22.966507177033492</v>
      </c>
      <c r="M25" s="65">
        <f>+(black!AH21/'all race'!AH21)*100</f>
        <v>14.547604967474866</v>
      </c>
      <c r="N25" s="81">
        <f>+(black!CE21/black!AH21)*100</f>
        <v>15.040650406504067</v>
      </c>
      <c r="O25" s="65">
        <f>+('Hispanic &amp; Non-resident'!X21/'all race'!AC21)*100</f>
        <v>3.1671554252199412</v>
      </c>
      <c r="P25" s="91">
        <f>+('Hispanic &amp; Non-resident'!AC21/'all race'!AH21)*100</f>
        <v>4.5535186280307514</v>
      </c>
    </row>
    <row r="26" spans="1:16">
      <c r="A26" s="25" t="s">
        <v>29</v>
      </c>
      <c r="B26" s="25"/>
      <c r="C26" s="25">
        <f>+'Total Doctorates'!AZ22</f>
        <v>220</v>
      </c>
      <c r="D26" s="72">
        <f>+(('Total Doctorates'!AZ22-'Total Doctorates'!AU22)/'Total Doctorates'!AU22)*100</f>
        <v>33.333333333333329</v>
      </c>
      <c r="E26" s="99">
        <f>(Public!X22/'Total Doctorates'!AU22)*100</f>
        <v>100</v>
      </c>
      <c r="F26" s="72">
        <f>+(Public!AC22/'Total Doctorates'!AZ22)*100</f>
        <v>100</v>
      </c>
      <c r="G26" s="99">
        <f>+(Gender!CR22/'Total Doctorates'!AU22)*100</f>
        <v>45.454545454545453</v>
      </c>
      <c r="H26" s="72">
        <f>+(Gender!CW22/'Total Doctorates'!AZ22)*100</f>
        <v>49.090909090909093</v>
      </c>
      <c r="I26" s="99">
        <f>+('Hispanic &amp; Non-resident'!AZ22/'Total Doctorates'!AU22)*100</f>
        <v>33.333333333333329</v>
      </c>
      <c r="J26" s="72">
        <f>+('Hispanic &amp; Non-resident'!BE22/'Total Doctorates'!AZ22)*100</f>
        <v>30.454545454545457</v>
      </c>
      <c r="K26" s="99">
        <f>+(black!AC22/'all race'!AC22)*100</f>
        <v>2.7522935779816518</v>
      </c>
      <c r="L26" s="76">
        <f>+(black!BZ22/black!AC22)*100</f>
        <v>0</v>
      </c>
      <c r="M26" s="99">
        <f>+(black!AH22/'all race'!AH22)*100</f>
        <v>5.2631578947368416</v>
      </c>
      <c r="N26" s="76">
        <f>+(black!CE22/black!AH22)*100</f>
        <v>0</v>
      </c>
      <c r="O26" s="99">
        <f>+('Hispanic &amp; Non-resident'!X22/'all race'!AC22)*100</f>
        <v>4.5871559633027523</v>
      </c>
      <c r="P26" s="105">
        <f>+('Hispanic &amp; Non-resident'!AC22/'all race'!AH22)*100</f>
        <v>3.2894736842105261</v>
      </c>
    </row>
    <row r="27" spans="1:16">
      <c r="A27" s="26" t="s">
        <v>210</v>
      </c>
      <c r="B27" s="26"/>
      <c r="C27" s="26">
        <f>+'Total Doctorates'!AZ23</f>
        <v>14876</v>
      </c>
      <c r="D27" s="69">
        <f>+(('Total Doctorates'!AZ23-'Total Doctorates'!AU23)/'Total Doctorates'!AU23)*100</f>
        <v>8.496827364889505</v>
      </c>
      <c r="E27" s="65">
        <f>(Public!X23/'Total Doctorates'!AU23)*100</f>
        <v>68.58726569907374</v>
      </c>
      <c r="F27" s="69">
        <f>+(Public!AC23/'Total Doctorates'!AZ23)*100</f>
        <v>66.146813659585916</v>
      </c>
      <c r="G27" s="65">
        <f>+(Gender!CR23/'Total Doctorates'!AU23)*100</f>
        <v>49.44934723944278</v>
      </c>
      <c r="H27" s="69">
        <f>+(Gender!CW23/'Total Doctorates'!AZ23)*100</f>
        <v>49.78488841086314</v>
      </c>
      <c r="I27" s="65">
        <f>+('Hispanic &amp; Non-resident'!AZ23/'Total Doctorates'!AU23)*100</f>
        <v>22.70439792867041</v>
      </c>
      <c r="J27" s="69">
        <f>+('Hispanic &amp; Non-resident'!BE23/'Total Doctorates'!AZ23)*100</f>
        <v>23.346329658510353</v>
      </c>
      <c r="K27" s="65">
        <f>+(black!AC23/'all race'!AC23)*100</f>
        <v>6.0067681895093061</v>
      </c>
      <c r="L27" s="81">
        <f>+(black!BZ23/black!AC23)*100</f>
        <v>1.4084507042253522</v>
      </c>
      <c r="M27" s="65">
        <f>+(black!AH23/'all race'!AH23)*100</f>
        <v>7.8349339165161167</v>
      </c>
      <c r="N27" s="81">
        <f>+(black!CE23/black!AH23)*100</f>
        <v>0.72815533980582525</v>
      </c>
      <c r="O27" s="65">
        <f>+('Hispanic &amp; Non-resident'!X23/'all race'!AC23)*100</f>
        <v>9.2639593908629436</v>
      </c>
      <c r="P27" s="91">
        <f>+('Hispanic &amp; Non-resident'!AC23/'all race'!AH23)*100</f>
        <v>11.086811828468194</v>
      </c>
    </row>
    <row r="28" spans="1:16">
      <c r="A28" s="26" t="s">
        <v>209</v>
      </c>
      <c r="B28" s="26"/>
      <c r="C28" s="65">
        <f>+'Total Doctorates'!AZ24</f>
        <v>21.3447355582977</v>
      </c>
      <c r="D28" s="69"/>
      <c r="E28" s="65"/>
      <c r="F28" s="69"/>
      <c r="G28" s="65"/>
      <c r="H28" s="69"/>
      <c r="I28" s="65"/>
      <c r="J28" s="69"/>
      <c r="K28" s="65"/>
      <c r="L28" s="81"/>
      <c r="M28" s="65"/>
      <c r="N28" s="81"/>
      <c r="O28" s="65"/>
      <c r="P28" s="91"/>
    </row>
    <row r="29" spans="1:16">
      <c r="A29" s="27" t="s">
        <v>125</v>
      </c>
      <c r="B29" s="27"/>
      <c r="C29" s="27">
        <f>+'Total Doctorates'!AZ25</f>
        <v>43</v>
      </c>
      <c r="D29" s="70">
        <f>+(('Total Doctorates'!AZ25-'Total Doctorates'!AU25)/'Total Doctorates'!AU25)*100</f>
        <v>-17.307692307692307</v>
      </c>
      <c r="E29" s="66">
        <f>(Public!X25/'Total Doctorates'!AU25)*100</f>
        <v>100</v>
      </c>
      <c r="F29" s="70">
        <f>+(Public!AC25/'Total Doctorates'!AZ25)*100</f>
        <v>100</v>
      </c>
      <c r="G29" s="66">
        <f>+(Gender!CR25/'Total Doctorates'!AU25)*100</f>
        <v>63.46153846153846</v>
      </c>
      <c r="H29" s="70">
        <f>+(Gender!CW25/'Total Doctorates'!AZ25)*100</f>
        <v>65.116279069767444</v>
      </c>
      <c r="I29" s="66">
        <f>+('Hispanic &amp; Non-resident'!AZ25/'Total Doctorates'!AU25)*100</f>
        <v>26.923076923076923</v>
      </c>
      <c r="J29" s="70">
        <f>+('Hispanic &amp; Non-resident'!BE25/'Total Doctorates'!AZ25)*100</f>
        <v>20.930232558139537</v>
      </c>
      <c r="K29" s="66">
        <f>+(black!AC25/'all race'!AC25)*100</f>
        <v>0</v>
      </c>
      <c r="L29" s="73" t="str">
        <f>IF(black!BZ25&gt;0,((black!BZ25/black!AC25)*100), "NA")</f>
        <v>NA</v>
      </c>
      <c r="M29" s="66">
        <f>+(black!AH25/'all race'!AH25)*100</f>
        <v>0</v>
      </c>
      <c r="N29" s="73" t="str">
        <f>IF(black!AH25="NA","NA",+(black!CE25/black!AH25)*100)</f>
        <v>NA</v>
      </c>
      <c r="O29" s="66">
        <f>+('Hispanic &amp; Non-resident'!X25/'all race'!AC25)*100</f>
        <v>2.8571428571428572</v>
      </c>
      <c r="P29" s="92">
        <f>+('Hispanic &amp; Non-resident'!AC25/'all race'!AH25)*100</f>
        <v>3.8461538461538463</v>
      </c>
    </row>
    <row r="30" spans="1:16">
      <c r="A30" s="27" t="s">
        <v>126</v>
      </c>
      <c r="B30" s="27"/>
      <c r="C30" s="27">
        <f>+'Total Doctorates'!AZ26</f>
        <v>2098</v>
      </c>
      <c r="D30" s="70">
        <f>+(('Total Doctorates'!AZ26-'Total Doctorates'!AU26)/'Total Doctorates'!AU26)*100</f>
        <v>29.746444032158319</v>
      </c>
      <c r="E30" s="66">
        <f>(Public!X26/'Total Doctorates'!AU26)*100</f>
        <v>68.954854669140389</v>
      </c>
      <c r="F30" s="70">
        <f>+(Public!AC26/'Total Doctorates'!AZ26)*100</f>
        <v>58.627264061010486</v>
      </c>
      <c r="G30" s="66">
        <f>+(Gender!CR26/'Total Doctorates'!AU26)*100</f>
        <v>56.153370439084725</v>
      </c>
      <c r="H30" s="70">
        <f>+(Gender!CW26/'Total Doctorates'!AZ26)*100</f>
        <v>59.86653956148713</v>
      </c>
      <c r="I30" s="66">
        <f>+('Hispanic &amp; Non-resident'!AZ26/'Total Doctorates'!AU26)*100</f>
        <v>18.614718614718615</v>
      </c>
      <c r="J30" s="70">
        <f>+('Hispanic &amp; Non-resident'!BE26/'Total Doctorates'!AZ26)*100</f>
        <v>18.493803622497616</v>
      </c>
      <c r="K30" s="66">
        <f>+(black!AC26/'all race'!AC26)*100</f>
        <v>14.211438474870016</v>
      </c>
      <c r="L30" s="73">
        <f>+(black!BZ26/black!AC26)*100</f>
        <v>0</v>
      </c>
      <c r="M30" s="66">
        <f>+(black!AH26/'all race'!AH26)*100</f>
        <v>18.25860948667966</v>
      </c>
      <c r="N30" s="73">
        <f>+(black!CE26/black!AH26)*100</f>
        <v>0</v>
      </c>
      <c r="O30" s="66">
        <f>+('Hispanic &amp; Non-resident'!X26/'all race'!AC26)*100</f>
        <v>10.22530329289428</v>
      </c>
      <c r="P30" s="92">
        <f>+('Hispanic &amp; Non-resident'!AC26/'all race'!AH26)*100</f>
        <v>11.306042884990253</v>
      </c>
    </row>
    <row r="31" spans="1:16">
      <c r="A31" s="27" t="s">
        <v>127</v>
      </c>
      <c r="B31" s="27"/>
      <c r="C31" s="27">
        <f>+'Total Doctorates'!AZ27</f>
        <v>7787</v>
      </c>
      <c r="D31" s="70">
        <f>+(('Total Doctorates'!AZ27-'Total Doctorates'!AU27)/'Total Doctorates'!AU27)*100</f>
        <v>2.2721302863146833</v>
      </c>
      <c r="E31" s="66">
        <f>(Public!X27/'Total Doctorates'!AU27)*100</f>
        <v>56.396112424481217</v>
      </c>
      <c r="F31" s="70">
        <f>+(Public!AC27/'Total Doctorates'!AZ27)*100</f>
        <v>53.576473609862596</v>
      </c>
      <c r="G31" s="66">
        <f>+(Gender!CR27/'Total Doctorates'!AU27)*100</f>
        <v>49.330181245074861</v>
      </c>
      <c r="H31" s="70">
        <f>+(Gender!CW27/'Total Doctorates'!AZ27)*100</f>
        <v>47.579298831385643</v>
      </c>
      <c r="I31" s="66">
        <f>+('Hispanic &amp; Non-resident'!AZ27/'Total Doctorates'!AU27)*100</f>
        <v>22.89204097714736</v>
      </c>
      <c r="J31" s="70">
        <f>+('Hispanic &amp; Non-resident'!BE27/'Total Doctorates'!AZ27)*100</f>
        <v>24.309747014254526</v>
      </c>
      <c r="K31" s="66">
        <f>+(black!AC27/'all race'!AC27)*100</f>
        <v>5.9210526315789469</v>
      </c>
      <c r="L31" s="73">
        <f>+(black!BZ27/black!AC27)*100</f>
        <v>2.6143790849673203</v>
      </c>
      <c r="M31" s="66">
        <f>+(black!AH27/'all race'!AH27)*100</f>
        <v>7.4725274725274726</v>
      </c>
      <c r="N31" s="73">
        <f>+(black!CE27/black!AH27)*100</f>
        <v>0</v>
      </c>
      <c r="O31" s="66">
        <f>+('Hispanic &amp; Non-resident'!X27/'all race'!AC27)*100</f>
        <v>11.203560371517028</v>
      </c>
      <c r="P31" s="92">
        <f>+('Hispanic &amp; Non-resident'!AC27/'all race'!AH27)*100</f>
        <v>12.783882783882783</v>
      </c>
    </row>
    <row r="32" spans="1:16">
      <c r="A32" s="27" t="s">
        <v>128</v>
      </c>
      <c r="B32" s="27"/>
      <c r="C32" s="27">
        <f>+'Total Doctorates'!AZ28</f>
        <v>1209</v>
      </c>
      <c r="D32" s="70">
        <f>+(('Total Doctorates'!AZ28-'Total Doctorates'!AU28)/'Total Doctorates'!AU28)*100</f>
        <v>1.0869565217391304</v>
      </c>
      <c r="E32" s="66">
        <f>(Public!X28/'Total Doctorates'!AU28)*100</f>
        <v>78.678929765886281</v>
      </c>
      <c r="F32" s="70">
        <f>+(Public!AC28/'Total Doctorates'!AZ28)*100</f>
        <v>88.33746898263027</v>
      </c>
      <c r="G32" s="66">
        <f>+(Gender!CR28/'Total Doctorates'!AU28)*100</f>
        <v>48.662207357859529</v>
      </c>
      <c r="H32" s="70">
        <f>+(Gender!CW28/'Total Doctorates'!AZ28)*100</f>
        <v>50.372208436724563</v>
      </c>
      <c r="I32" s="66">
        <f>+('Hispanic &amp; Non-resident'!AZ28/'Total Doctorates'!AU28)*100</f>
        <v>18.896321070234116</v>
      </c>
      <c r="J32" s="70">
        <f>+('Hispanic &amp; Non-resident'!BE28/'Total Doctorates'!AZ28)*100</f>
        <v>21.50537634408602</v>
      </c>
      <c r="K32" s="66">
        <f>+(black!AC28/'all race'!AC28)*100</f>
        <v>3.1890660592255129</v>
      </c>
      <c r="L32" s="73">
        <f>+(black!BZ28/black!AC28)*100</f>
        <v>0</v>
      </c>
      <c r="M32" s="66">
        <f>+(black!AH28/'all race'!AH28)*100</f>
        <v>2.2701475595913734</v>
      </c>
      <c r="N32" s="73">
        <f>+(black!CE28/black!AH28)*100</f>
        <v>30</v>
      </c>
      <c r="O32" s="66">
        <f>+('Hispanic &amp; Non-resident'!X28/'all race'!AC28)*100</f>
        <v>4.4419134396355346</v>
      </c>
      <c r="P32" s="92">
        <f>+('Hispanic &amp; Non-resident'!AC28/'all race'!AH28)*100</f>
        <v>8.2860385925085129</v>
      </c>
    </row>
    <row r="33" spans="1:16">
      <c r="A33" s="26" t="s">
        <v>131</v>
      </c>
      <c r="B33" s="26"/>
      <c r="C33" s="26">
        <f>+'Total Doctorates'!AZ29</f>
        <v>207</v>
      </c>
      <c r="D33" s="69">
        <f>+(('Total Doctorates'!AZ29-'Total Doctorates'!AU29)/'Total Doctorates'!AU29)*100</f>
        <v>-2.358490566037736</v>
      </c>
      <c r="E33" s="65">
        <f>(Public!X29/'Total Doctorates'!AU29)*100</f>
        <v>91.509433962264154</v>
      </c>
      <c r="F33" s="69">
        <f>+(Public!AC29/'Total Doctorates'!AZ29)*100</f>
        <v>100</v>
      </c>
      <c r="G33" s="65">
        <f>+(Gender!CR29/'Total Doctorates'!AU29)*100</f>
        <v>58.962264150943398</v>
      </c>
      <c r="H33" s="69">
        <f>+(Gender!CW29/'Total Doctorates'!AZ29)*100</f>
        <v>53.140096618357489</v>
      </c>
      <c r="I33" s="65">
        <f>+('Hispanic &amp; Non-resident'!AZ29/'Total Doctorates'!AU29)*100</f>
        <v>32.547169811320757</v>
      </c>
      <c r="J33" s="69">
        <f>+('Hispanic &amp; Non-resident'!BE29/'Total Doctorates'!AZ29)*100</f>
        <v>31.40096618357488</v>
      </c>
      <c r="K33" s="65">
        <f>+(black!AC29/'all race'!AC29)*100</f>
        <v>2.0979020979020979</v>
      </c>
      <c r="L33" s="81">
        <f>+(black!BZ29/black!AC29)*100</f>
        <v>0</v>
      </c>
      <c r="M33" s="65">
        <f>+(black!AH29/'all race'!AH29)*100</f>
        <v>1.4285714285714286</v>
      </c>
      <c r="N33" s="81">
        <f>+(black!CE29/black!AH29)*100</f>
        <v>0</v>
      </c>
      <c r="O33" s="65">
        <f>+('Hispanic &amp; Non-resident'!X29/'all race'!AC29)*100</f>
        <v>6.2937062937062942</v>
      </c>
      <c r="P33" s="91">
        <f>+('Hispanic &amp; Non-resident'!AC29/'all race'!AH29)*100</f>
        <v>7.8571428571428568</v>
      </c>
    </row>
    <row r="34" spans="1:16">
      <c r="A34" s="26" t="s">
        <v>133</v>
      </c>
      <c r="B34" s="26"/>
      <c r="C34" s="26">
        <f>+'Total Doctorates'!AZ30</f>
        <v>149</v>
      </c>
      <c r="D34" s="69">
        <f>+(('Total Doctorates'!AZ30-'Total Doctorates'!AU30)/'Total Doctorates'!AU30)*100</f>
        <v>-1.3245033112582782</v>
      </c>
      <c r="E34" s="65">
        <f>(Public!X30/'Total Doctorates'!AU30)*100</f>
        <v>100</v>
      </c>
      <c r="F34" s="69">
        <f>+(Public!AC30/'Total Doctorates'!AZ30)*100</f>
        <v>90.604026845637591</v>
      </c>
      <c r="G34" s="65">
        <f>+(Gender!CR30/'Total Doctorates'!AU30)*100</f>
        <v>35.76158940397351</v>
      </c>
      <c r="H34" s="69">
        <f>+(Gender!CW30/'Total Doctorates'!AZ30)*100</f>
        <v>49.664429530201346</v>
      </c>
      <c r="I34" s="65">
        <f>+('Hispanic &amp; Non-resident'!AZ30/'Total Doctorates'!AU30)*100</f>
        <v>28.476821192052981</v>
      </c>
      <c r="J34" s="69">
        <f>+('Hispanic &amp; Non-resident'!BE30/'Total Doctorates'!AZ30)*100</f>
        <v>20.134228187919462</v>
      </c>
      <c r="K34" s="65">
        <f>+(black!AC30/'all race'!AC30)*100</f>
        <v>1.8691588785046727</v>
      </c>
      <c r="L34" s="81">
        <f>+(black!BZ30/black!AC30)*100</f>
        <v>0</v>
      </c>
      <c r="M34" s="65">
        <f>+(black!AH30/'all race'!AH30)*100</f>
        <v>1.6949152542372881</v>
      </c>
      <c r="N34" s="81">
        <f>IF(black!AH30="NA","NA",+(black!CE30/black!AH30)*100)</f>
        <v>0</v>
      </c>
      <c r="O34" s="65">
        <f>+('Hispanic &amp; Non-resident'!X30/'all race'!AC30)*100</f>
        <v>2.8037383177570092</v>
      </c>
      <c r="P34" s="91">
        <f>+('Hispanic &amp; Non-resident'!AC30/'all race'!AH30)*100</f>
        <v>6.7796610169491522</v>
      </c>
    </row>
    <row r="35" spans="1:16">
      <c r="A35" s="26" t="s">
        <v>142</v>
      </c>
      <c r="B35" s="26"/>
      <c r="C35" s="26">
        <f>+'Total Doctorates'!AZ31</f>
        <v>128</v>
      </c>
      <c r="D35" s="69">
        <f>+(('Total Doctorates'!AZ31-'Total Doctorates'!AU31)/'Total Doctorates'!AU31)*100</f>
        <v>19.626168224299064</v>
      </c>
      <c r="E35" s="65">
        <f>(Public!X31/'Total Doctorates'!AU31)*100</f>
        <v>100</v>
      </c>
      <c r="F35" s="69">
        <f>+(Public!AC31/'Total Doctorates'!AZ31)*100</f>
        <v>100</v>
      </c>
      <c r="G35" s="65">
        <f>+(Gender!CR31/'Total Doctorates'!AU31)*100</f>
        <v>44.859813084112147</v>
      </c>
      <c r="H35" s="69">
        <f>+(Gender!CW31/'Total Doctorates'!AZ31)*100</f>
        <v>38.28125</v>
      </c>
      <c r="I35" s="65">
        <f>+('Hispanic &amp; Non-resident'!AZ31/'Total Doctorates'!AU31)*100</f>
        <v>8.4112149532710276</v>
      </c>
      <c r="J35" s="69">
        <f>+('Hispanic &amp; Non-resident'!BE31/'Total Doctorates'!AZ31)*100</f>
        <v>18.75</v>
      </c>
      <c r="K35" s="65">
        <f>+(black!AC31/'all race'!AC31)*100</f>
        <v>0</v>
      </c>
      <c r="L35" s="81" t="str">
        <f>IF(black!AC31="NA","NA",+(black!BZ31/black!AC31)*100)</f>
        <v>NA</v>
      </c>
      <c r="M35" s="65">
        <f>+(black!AH31/'all race'!AH31)*100</f>
        <v>1.0309278350515463</v>
      </c>
      <c r="N35" s="81">
        <f>IF(black!AH31="NA","NA",+(black!CE31/black!AH31)*100)</f>
        <v>0</v>
      </c>
      <c r="O35" s="65">
        <f>+('Hispanic &amp; Non-resident'!X31/'all race'!AC31)*100</f>
        <v>1.0638297872340425</v>
      </c>
      <c r="P35" s="91">
        <f>+('Hispanic &amp; Non-resident'!AC31/'all race'!AH31)*100</f>
        <v>4.1237113402061851</v>
      </c>
    </row>
    <row r="36" spans="1:16">
      <c r="A36" s="26" t="s">
        <v>148</v>
      </c>
      <c r="B36" s="26"/>
      <c r="C36" s="26">
        <f>+'Total Doctorates'!AZ32</f>
        <v>283</v>
      </c>
      <c r="D36" s="69">
        <f>+(('Total Doctorates'!AZ32-'Total Doctorates'!AU32)/'Total Doctorates'!AU32)*100</f>
        <v>16.942148760330578</v>
      </c>
      <c r="E36" s="65">
        <f>(Public!X32/'Total Doctorates'!AU32)*100</f>
        <v>100</v>
      </c>
      <c r="F36" s="69">
        <f>+(Public!AC32/'Total Doctorates'!AZ32)*100</f>
        <v>100</v>
      </c>
      <c r="G36" s="65">
        <f>+(Gender!CR32/'Total Doctorates'!AU32)*100</f>
        <v>49.173553719008268</v>
      </c>
      <c r="H36" s="69">
        <f>+(Gender!CW32/'Total Doctorates'!AZ32)*100</f>
        <v>51.943462897526501</v>
      </c>
      <c r="I36" s="65">
        <f>+('Hispanic &amp; Non-resident'!AZ32/'Total Doctorates'!AU32)*100</f>
        <v>19.834710743801654</v>
      </c>
      <c r="J36" s="69">
        <f>+('Hispanic &amp; Non-resident'!BE32/'Total Doctorates'!AZ32)*100</f>
        <v>20.848056537102476</v>
      </c>
      <c r="K36" s="65">
        <f>+(black!AC32/'all race'!AC32)*100</f>
        <v>3.3149171270718232</v>
      </c>
      <c r="L36" s="81">
        <f>+(black!BZ32/black!AC32)*100</f>
        <v>0</v>
      </c>
      <c r="M36" s="65">
        <f>+(black!AH32/'all race'!AH32)*100</f>
        <v>6.9444444444444446</v>
      </c>
      <c r="N36" s="81">
        <f>+(black!CE32/black!AH32)*100</f>
        <v>0</v>
      </c>
      <c r="O36" s="65">
        <f>+('Hispanic &amp; Non-resident'!X32/'all race'!AC32)*100</f>
        <v>2.2099447513812152</v>
      </c>
      <c r="P36" s="91">
        <f>+('Hispanic &amp; Non-resident'!AC32/'all race'!AH32)*100</f>
        <v>6.9444444444444446</v>
      </c>
    </row>
    <row r="37" spans="1:16">
      <c r="A37" s="27" t="s">
        <v>147</v>
      </c>
      <c r="B37" s="27"/>
      <c r="C37" s="27">
        <f>+'Total Doctorates'!AZ33</f>
        <v>345</v>
      </c>
      <c r="D37" s="70">
        <f>+(('Total Doctorates'!AZ33-'Total Doctorates'!AU33)/'Total Doctorates'!AU33)*100</f>
        <v>-3.089887640449438</v>
      </c>
      <c r="E37" s="66">
        <f>(Public!X33/'Total Doctorates'!AU33)*100</f>
        <v>100</v>
      </c>
      <c r="F37" s="70">
        <f>+(Public!AC33/'Total Doctorates'!AZ33)*100</f>
        <v>99.710144927536234</v>
      </c>
      <c r="G37" s="66">
        <f>+(Gender!CR33/'Total Doctorates'!AU33)*100</f>
        <v>47.752808988764045</v>
      </c>
      <c r="H37" s="70">
        <f>+(Gender!CW33/'Total Doctorates'!AZ33)*100</f>
        <v>43.188405797101446</v>
      </c>
      <c r="I37" s="66">
        <f>+('Hispanic &amp; Non-resident'!AZ33/'Total Doctorates'!AU33)*100</f>
        <v>31.179775280898873</v>
      </c>
      <c r="J37" s="70">
        <f>+('Hispanic &amp; Non-resident'!BE33/'Total Doctorates'!AZ33)*100</f>
        <v>27.246376811594203</v>
      </c>
      <c r="K37" s="66">
        <f>+(black!AC33/'all race'!AC33)*100</f>
        <v>4.4052863436123353</v>
      </c>
      <c r="L37" s="73">
        <f>+(black!BZ33/black!AC33)*100</f>
        <v>0</v>
      </c>
      <c r="M37" s="66">
        <f>+(black!AH33/'all race'!AH33)*100</f>
        <v>2.6200873362445414</v>
      </c>
      <c r="N37" s="73">
        <f>+(black!CE33/black!AH33)*100</f>
        <v>0</v>
      </c>
      <c r="O37" s="66">
        <f>+('Hispanic &amp; Non-resident'!X33/'all race'!AC33)*100</f>
        <v>20.704845814977972</v>
      </c>
      <c r="P37" s="92">
        <f>+('Hispanic &amp; Non-resident'!AC33/'all race'!AH33)*100</f>
        <v>26.200873362445414</v>
      </c>
    </row>
    <row r="38" spans="1:16">
      <c r="A38" s="27" t="s">
        <v>151</v>
      </c>
      <c r="B38" s="27"/>
      <c r="C38" s="27">
        <f>+'Total Doctorates'!AZ34</f>
        <v>815</v>
      </c>
      <c r="D38" s="70">
        <f>+(('Total Doctorates'!AZ34-'Total Doctorates'!AU34)/'Total Doctorates'!AU34)*100</f>
        <v>63.326653306613224</v>
      </c>
      <c r="E38" s="66">
        <f>(Public!X34/'Total Doctorates'!AU34)*100</f>
        <v>96.793587174348687</v>
      </c>
      <c r="F38" s="70">
        <f>+(Public!AC34/'Total Doctorates'!AZ34)*100</f>
        <v>72.883435582822088</v>
      </c>
      <c r="G38" s="66">
        <f>+(Gender!CR34/'Total Doctorates'!AU34)*100</f>
        <v>49.498997995991985</v>
      </c>
      <c r="H38" s="70">
        <f>+(Gender!CW34/'Total Doctorates'!AZ34)*100</f>
        <v>52.883435582822081</v>
      </c>
      <c r="I38" s="66">
        <f>+('Hispanic &amp; Non-resident'!AZ34/'Total Doctorates'!AU34)*100</f>
        <v>20.240480961923847</v>
      </c>
      <c r="J38" s="70">
        <f>+('Hispanic &amp; Non-resident'!BE34/'Total Doctorates'!AZ34)*100</f>
        <v>18.89570552147239</v>
      </c>
      <c r="K38" s="66">
        <f>+(black!AC34/'all race'!AC34)*100</f>
        <v>1.095890410958904</v>
      </c>
      <c r="L38" s="73">
        <f>+(black!BZ34/black!AC34)*100</f>
        <v>0</v>
      </c>
      <c r="M38" s="66">
        <f>+(black!AH34/'all race'!AH34)*100</f>
        <v>9.2748735244519391</v>
      </c>
      <c r="N38" s="73">
        <f>+(black!CE34/black!AH34)*100</f>
        <v>0</v>
      </c>
      <c r="O38" s="66">
        <f>+('Hispanic &amp; Non-resident'!X34/'all race'!AC34)*100</f>
        <v>5.2054794520547949</v>
      </c>
      <c r="P38" s="92">
        <f>+('Hispanic &amp; Non-resident'!AC34/'all race'!AH34)*100</f>
        <v>7.4198988195615518</v>
      </c>
    </row>
    <row r="39" spans="1:16">
      <c r="A39" s="27" t="s">
        <v>155</v>
      </c>
      <c r="B39" s="27"/>
      <c r="C39" s="27">
        <f>+'Total Doctorates'!AZ35</f>
        <v>601</v>
      </c>
      <c r="D39" s="70">
        <f>+(('Total Doctorates'!AZ35-'Total Doctorates'!AU35)/'Total Doctorates'!AU35)*100</f>
        <v>5.6239015817223192</v>
      </c>
      <c r="E39" s="66">
        <f>(Public!X35/'Total Doctorates'!AU35)*100</f>
        <v>77.152899824253069</v>
      </c>
      <c r="F39" s="70">
        <f>+(Public!AC35/'Total Doctorates'!AZ35)*100</f>
        <v>81.364392678868555</v>
      </c>
      <c r="G39" s="66">
        <f>+(Gender!CR35/'Total Doctorates'!AU35)*100</f>
        <v>41.476274165202106</v>
      </c>
      <c r="H39" s="70">
        <f>+(Gender!CW35/'Total Doctorates'!AZ35)*100</f>
        <v>40.432612312811976</v>
      </c>
      <c r="I39" s="66">
        <f>+('Hispanic &amp; Non-resident'!AZ35/'Total Doctorates'!AU35)*100</f>
        <v>25.659050966608081</v>
      </c>
      <c r="J39" s="70">
        <f>+('Hispanic &amp; Non-resident'!BE35/'Total Doctorates'!AZ35)*100</f>
        <v>22.462562396006653</v>
      </c>
      <c r="K39" s="66">
        <f>+(black!AC35/'all race'!AC35)*100</f>
        <v>4.1362530413625302</v>
      </c>
      <c r="L39" s="73">
        <f>+(black!BZ35/black!AC35)*100</f>
        <v>0</v>
      </c>
      <c r="M39" s="66">
        <f>+(black!AH35/'all race'!AH35)*100</f>
        <v>0.89686098654708524</v>
      </c>
      <c r="N39" s="73">
        <f>+(black!CE35/black!AH35)*100</f>
        <v>0</v>
      </c>
      <c r="O39" s="66">
        <f>+('Hispanic &amp; Non-resident'!X35/'all race'!AC35)*100</f>
        <v>5.5961070559610704</v>
      </c>
      <c r="P39" s="92">
        <f>+('Hispanic &amp; Non-resident'!AC35/'all race'!AH35)*100</f>
        <v>5.6053811659192831</v>
      </c>
    </row>
    <row r="40" spans="1:16">
      <c r="A40" s="27" t="s">
        <v>67</v>
      </c>
      <c r="B40" s="27"/>
      <c r="C40" s="27">
        <f>+'Total Doctorates'!AZ36</f>
        <v>1105</v>
      </c>
      <c r="D40" s="70">
        <f>+(('Total Doctorates'!AZ36-'Total Doctorates'!AU36)/'Total Doctorates'!AU36)*100</f>
        <v>11.729019211324571</v>
      </c>
      <c r="E40" s="66">
        <f>(Public!X36/'Total Doctorates'!AU36)*100</f>
        <v>93.326592517694635</v>
      </c>
      <c r="F40" s="70">
        <f>+(Public!AC36/'Total Doctorates'!AZ36)*100</f>
        <v>94.208144796380083</v>
      </c>
      <c r="G40" s="66">
        <f>+(Gender!CR36/'Total Doctorates'!AU36)*100</f>
        <v>46.309403437815973</v>
      </c>
      <c r="H40" s="70">
        <f>+(Gender!CW36/'Total Doctorates'!AZ36)*100</f>
        <v>50.04524886877828</v>
      </c>
      <c r="I40" s="66">
        <f>+('Hispanic &amp; Non-resident'!AZ36/'Total Doctorates'!AU36)*100</f>
        <v>25.480283114256824</v>
      </c>
      <c r="J40" s="70">
        <f>+('Hispanic &amp; Non-resident'!BE36/'Total Doctorates'!AZ36)*100</f>
        <v>29.683257918552037</v>
      </c>
      <c r="K40" s="66">
        <f>+(black!AC36/'all race'!AC36)*100</f>
        <v>4.1860465116279073</v>
      </c>
      <c r="L40" s="73">
        <f>+(black!BZ36/black!AC36)*100</f>
        <v>0</v>
      </c>
      <c r="M40" s="66">
        <f>+(black!AH36/'all race'!AH36)*100</f>
        <v>4.213483146067416</v>
      </c>
      <c r="N40" s="73">
        <f>+(black!CE36/black!AH36)*100</f>
        <v>0</v>
      </c>
      <c r="O40" s="66">
        <f>+('Hispanic &amp; Non-resident'!X36/'all race'!AC36)*100</f>
        <v>4.9612403100775193</v>
      </c>
      <c r="P40" s="92">
        <f>+('Hispanic &amp; Non-resident'!AC36/'all race'!AH36)*100</f>
        <v>7.3033707865168536</v>
      </c>
    </row>
    <row r="41" spans="1:16">
      <c r="A41" s="28" t="s">
        <v>158</v>
      </c>
      <c r="B41" s="28"/>
      <c r="C41" s="28">
        <f>+'Total Doctorates'!AZ37</f>
        <v>106</v>
      </c>
      <c r="D41" s="71">
        <f>+(('Total Doctorates'!AZ37-'Total Doctorates'!AU37)/'Total Doctorates'!AU37)*100</f>
        <v>-0.93457943925233633</v>
      </c>
      <c r="E41" s="100">
        <f>(Public!X37/'Total Doctorates'!AU37)*100</f>
        <v>100</v>
      </c>
      <c r="F41" s="71">
        <f>+(Public!AC37/'Total Doctorates'!AZ37)*100</f>
        <v>100</v>
      </c>
      <c r="G41" s="100">
        <f>+(Gender!CR37/'Total Doctorates'!AU37)*100</f>
        <v>41.121495327102799</v>
      </c>
      <c r="H41" s="71">
        <f>+(Gender!CW37/'Total Doctorates'!AZ37)*100</f>
        <v>49.056603773584904</v>
      </c>
      <c r="I41" s="100">
        <f>+('Hispanic &amp; Non-resident'!AZ37/'Total Doctorates'!AU37)*100</f>
        <v>46.728971962616825</v>
      </c>
      <c r="J41" s="71">
        <f>+('Hispanic &amp; Non-resident'!BE37/'Total Doctorates'!AZ37)*100</f>
        <v>32.075471698113205</v>
      </c>
      <c r="K41" s="100">
        <f>+(black!AC37/'all race'!AC37)*100</f>
        <v>2.083333333333333</v>
      </c>
      <c r="L41" s="73">
        <f>IF(black!AC37="NA","NA",+(black!BZ37/black!AC37)*100)</f>
        <v>0</v>
      </c>
      <c r="M41" s="100">
        <f>+(black!AH37/'all race'!AH37)*100</f>
        <v>0</v>
      </c>
      <c r="N41" s="74" t="str">
        <f>IF(black!CE37&gt;0,((black!CE37/black!AH37)*100),"NA")</f>
        <v>NA</v>
      </c>
      <c r="O41" s="100">
        <f>+('Hispanic &amp; Non-resident'!X37/'all race'!AC37)*100</f>
        <v>2.083333333333333</v>
      </c>
      <c r="P41" s="93">
        <f>+('Hispanic &amp; Non-resident'!AC37/'all race'!AH37)*100</f>
        <v>1.6666666666666667</v>
      </c>
    </row>
    <row r="42" spans="1:16">
      <c r="A42" s="26" t="s">
        <v>211</v>
      </c>
      <c r="B42" s="26"/>
      <c r="C42" s="26">
        <f>+'Total Doctorates'!AZ38</f>
        <v>15474</v>
      </c>
      <c r="D42" s="69">
        <f>+(('Total Doctorates'!AZ38-'Total Doctorates'!AU38)/'Total Doctorates'!AU38)*100</f>
        <v>6.3212862443314544</v>
      </c>
      <c r="E42" s="65">
        <f>(Public!X38/'Total Doctorates'!AU38)*100</f>
        <v>77.277724336952033</v>
      </c>
      <c r="F42" s="69">
        <f>+(Public!AC38/'Total Doctorates'!AZ38)*100</f>
        <v>75.087243117487404</v>
      </c>
      <c r="G42" s="65">
        <f>+(Gender!CR38/'Total Doctorates'!AU38)*100</f>
        <v>47.395904905867802</v>
      </c>
      <c r="H42" s="69">
        <f>+(Gender!CW38/'Total Doctorates'!AZ38)*100</f>
        <v>48.009564430657875</v>
      </c>
      <c r="I42" s="65">
        <f>+('Hispanic &amp; Non-resident'!AZ38/'Total Doctorates'!AU38)*100</f>
        <v>32.039301910127797</v>
      </c>
      <c r="J42" s="69">
        <f>+('Hispanic &amp; Non-resident'!BE38/'Total Doctorates'!AZ38)*100</f>
        <v>33.682305803282922</v>
      </c>
      <c r="K42" s="65">
        <f>+(black!AC38/'all race'!AC38)*100</f>
        <v>7.5729828719164063</v>
      </c>
      <c r="L42" s="111">
        <f>+(black!BZ38/black!AC38)*100</f>
        <v>6.9701280227596012</v>
      </c>
      <c r="M42" s="65">
        <f>+(black!AH38/'all race'!AH38)*100</f>
        <v>8.2221532733478124</v>
      </c>
      <c r="N42" s="81">
        <f>+(black!CE38/black!AH38)*100</f>
        <v>2.0125786163522013</v>
      </c>
      <c r="O42" s="65">
        <f>+('Hispanic &amp; Non-resident'!X38/'all race'!AC38)*100</f>
        <v>4.3089518474631046</v>
      </c>
      <c r="P42" s="91">
        <f>+('Hispanic &amp; Non-resident'!AC38/'all race'!AH38)*100</f>
        <v>5.7399937946013031</v>
      </c>
    </row>
    <row r="43" spans="1:16">
      <c r="A43" s="26" t="s">
        <v>209</v>
      </c>
      <c r="B43" s="26"/>
      <c r="C43" s="65">
        <f>+'Total Doctorates'!AZ39</f>
        <v>22.202772118116336</v>
      </c>
      <c r="D43" s="69"/>
      <c r="E43" s="65"/>
      <c r="F43" s="69"/>
      <c r="G43" s="65"/>
      <c r="H43" s="69"/>
      <c r="I43" s="65"/>
      <c r="J43" s="69"/>
      <c r="K43" s="65"/>
      <c r="L43" s="81"/>
      <c r="M43" s="65"/>
      <c r="N43" s="81"/>
      <c r="O43" s="65"/>
      <c r="P43" s="91"/>
    </row>
    <row r="44" spans="1:16">
      <c r="A44" s="27" t="s">
        <v>134</v>
      </c>
      <c r="B44" s="27"/>
      <c r="C44" s="27">
        <f>+'Total Doctorates'!AZ40</f>
        <v>3150</v>
      </c>
      <c r="D44" s="70">
        <f>+(('Total Doctorates'!AZ40-'Total Doctorates'!AU40)/'Total Doctorates'!AU40)*100</f>
        <v>7.1064263855831351</v>
      </c>
      <c r="E44" s="66">
        <f>(Public!X40/'Total Doctorates'!AU40)*100</f>
        <v>50.697041822509348</v>
      </c>
      <c r="F44" s="70">
        <f>+(Public!AC40/'Total Doctorates'!AZ40)*100</f>
        <v>48.095238095238095</v>
      </c>
      <c r="G44" s="66">
        <f>+(Gender!CR40/'Total Doctorates'!AU40)*100</f>
        <v>46.820809248554909</v>
      </c>
      <c r="H44" s="70">
        <f>+(Gender!CW40/'Total Doctorates'!AZ40)*100</f>
        <v>46.095238095238095</v>
      </c>
      <c r="I44" s="66">
        <f>+('Hispanic &amp; Non-resident'!AZ40/'Total Doctorates'!AU40)*100</f>
        <v>32.573954437266231</v>
      </c>
      <c r="J44" s="70">
        <f>+('Hispanic &amp; Non-resident'!BE40/'Total Doctorates'!AZ40)*100</f>
        <v>34.412698412698411</v>
      </c>
      <c r="K44" s="66">
        <f>+(black!AC40/'all race'!AC40)*100</f>
        <v>10.318746623446785</v>
      </c>
      <c r="L44" s="73">
        <f>+(black!BZ40/black!AC40)*100</f>
        <v>23.036649214659686</v>
      </c>
      <c r="M44" s="66">
        <f>+(black!AH40/'all race'!AH40)*100</f>
        <v>11.151079136690647</v>
      </c>
      <c r="N44" s="73">
        <f>+(black!CE40/black!AH40)*100</f>
        <v>5.5299539170506913</v>
      </c>
      <c r="O44" s="66">
        <f>+('Hispanic &amp; Non-resident'!X40/'all race'!AC40)*100</f>
        <v>5.8887088060507828</v>
      </c>
      <c r="P44" s="92">
        <f>+('Hispanic &amp; Non-resident'!AC40/'all race'!AH40)*100</f>
        <v>7.5025693730729701</v>
      </c>
    </row>
    <row r="45" spans="1:16">
      <c r="A45" s="27" t="s">
        <v>135</v>
      </c>
      <c r="B45" s="27"/>
      <c r="C45" s="27">
        <f>+'Total Doctorates'!AZ41</f>
        <v>1744</v>
      </c>
      <c r="D45" s="70">
        <f>+(('Total Doctorates'!AZ41-'Total Doctorates'!AU41)/'Total Doctorates'!AU41)*100</f>
        <v>5.8894960534304799</v>
      </c>
      <c r="E45" s="66">
        <f>(Public!X41/'Total Doctorates'!AU41)*100</f>
        <v>83.788706739526404</v>
      </c>
      <c r="F45" s="70">
        <f>+(Public!AC41/'Total Doctorates'!AZ41)*100</f>
        <v>82.339449541284409</v>
      </c>
      <c r="G45" s="66">
        <f>+(Gender!CR41/'Total Doctorates'!AU41)*100</f>
        <v>41.226472374013355</v>
      </c>
      <c r="H45" s="70">
        <f>+(Gender!CW41/'Total Doctorates'!AZ41)*100</f>
        <v>44.208715596330272</v>
      </c>
      <c r="I45" s="66">
        <f>+('Hispanic &amp; Non-resident'!AZ41/'Total Doctorates'!AU41)*100</f>
        <v>37.401335761991497</v>
      </c>
      <c r="J45" s="70">
        <f>+('Hispanic &amp; Non-resident'!BE41/'Total Doctorates'!AZ41)*100</f>
        <v>40.137614678899084</v>
      </c>
      <c r="K45" s="66">
        <f>+(black!AC41/'all race'!AC41)*100</f>
        <v>5.1359516616314203</v>
      </c>
      <c r="L45" s="73">
        <f>+(black!BZ41/black!AC41)*100</f>
        <v>0</v>
      </c>
      <c r="M45" s="66">
        <f>+(black!AH41/'all race'!AH41)*100</f>
        <v>6.3241106719367588</v>
      </c>
      <c r="N45" s="73">
        <f>+(black!CE41/black!AH41)*100</f>
        <v>0</v>
      </c>
      <c r="O45" s="66">
        <f>+('Hispanic &amp; Non-resident'!X41/'all race'!AC41)*100</f>
        <v>5.236656596173213</v>
      </c>
      <c r="P45" s="92">
        <f>+('Hispanic &amp; Non-resident'!AC41/'all race'!AH41)*100</f>
        <v>6.4229249011857714</v>
      </c>
    </row>
    <row r="46" spans="1:16">
      <c r="A46" s="27" t="s">
        <v>132</v>
      </c>
      <c r="B46" s="27"/>
      <c r="C46" s="27">
        <f>+'Total Doctorates'!AZ42</f>
        <v>845</v>
      </c>
      <c r="D46" s="70">
        <f>+(('Total Doctorates'!AZ42-'Total Doctorates'!AU42)/'Total Doctorates'!AU42)*100</f>
        <v>-1.4002333722287048</v>
      </c>
      <c r="E46" s="66">
        <f>(Public!X42/'Total Doctorates'!AU42)*100</f>
        <v>97.666277712952152</v>
      </c>
      <c r="F46" s="70">
        <f>+(Public!AC42/'Total Doctorates'!AZ42)*100</f>
        <v>95.384615384615387</v>
      </c>
      <c r="G46" s="66">
        <f>+(Gender!CR42/'Total Doctorates'!AU42)*100</f>
        <v>49.941656942823805</v>
      </c>
      <c r="H46" s="70">
        <f>+(Gender!CW42/'Total Doctorates'!AZ42)*100</f>
        <v>47.692307692307693</v>
      </c>
      <c r="I46" s="66">
        <f>+('Hispanic &amp; Non-resident'!AZ42/'Total Doctorates'!AU42)*100</f>
        <v>34.539089848308052</v>
      </c>
      <c r="J46" s="70">
        <f>+('Hispanic &amp; Non-resident'!BE42/'Total Doctorates'!AZ42)*100</f>
        <v>37.278106508875744</v>
      </c>
      <c r="K46" s="66">
        <f>+(black!AC42/'all race'!AC42)*100</f>
        <v>6.9444444444444446</v>
      </c>
      <c r="L46" s="73">
        <f>+(black!BZ42/black!AC42)*100</f>
        <v>0</v>
      </c>
      <c r="M46" s="66">
        <f>+(black!AH42/'all race'!AH42)*100</f>
        <v>3.75</v>
      </c>
      <c r="N46" s="73">
        <f>+(black!CE42/black!AH42)*100</f>
        <v>0</v>
      </c>
      <c r="O46" s="66">
        <f>+('Hispanic &amp; Non-resident'!X42/'all race'!AC42)*100</f>
        <v>4.7619047619047619</v>
      </c>
      <c r="P46" s="92">
        <f>+('Hispanic &amp; Non-resident'!AC42/'all race'!AH42)*100</f>
        <v>7.7083333333333339</v>
      </c>
    </row>
    <row r="47" spans="1:16">
      <c r="A47" s="27" t="s">
        <v>136</v>
      </c>
      <c r="B47" s="27"/>
      <c r="C47" s="27">
        <f>+'Total Doctorates'!AZ43</f>
        <v>658</v>
      </c>
      <c r="D47" s="70">
        <f>+(('Total Doctorates'!AZ43-'Total Doctorates'!AU43)/'Total Doctorates'!AU43)*100</f>
        <v>19.636363636363637</v>
      </c>
      <c r="E47" s="66">
        <f>(Public!X43/'Total Doctorates'!AU43)*100</f>
        <v>97.636363636363626</v>
      </c>
      <c r="F47" s="70">
        <f>+(Public!AC43/'Total Doctorates'!AZ43)*100</f>
        <v>92.857142857142861</v>
      </c>
      <c r="G47" s="66">
        <f>+(Gender!CR43/'Total Doctorates'!AU43)*100</f>
        <v>48.909090909090907</v>
      </c>
      <c r="H47" s="70">
        <f>+(Gender!CW43/'Total Doctorates'!AZ43)*100</f>
        <v>46.960486322188451</v>
      </c>
      <c r="I47" s="66">
        <f>+('Hispanic &amp; Non-resident'!AZ43/'Total Doctorates'!AU43)*100</f>
        <v>35.272727272727273</v>
      </c>
      <c r="J47" s="70">
        <f>+('Hispanic &amp; Non-resident'!BE43/'Total Doctorates'!AZ43)*100</f>
        <v>34.80243161094225</v>
      </c>
      <c r="K47" s="66">
        <f>+(black!AC43/'all race'!AC43)*100</f>
        <v>5.1724137931034484</v>
      </c>
      <c r="L47" s="73">
        <f>+(black!BZ43/black!AC43)*100</f>
        <v>0</v>
      </c>
      <c r="M47" s="66">
        <f>+(black!AH43/'all race'!AH43)*100</f>
        <v>5.1219512195121952</v>
      </c>
      <c r="N47" s="73">
        <f>+(black!CE43/black!AH43)*100</f>
        <v>0</v>
      </c>
      <c r="O47" s="66">
        <f>+('Hispanic &amp; Non-resident'!X43/'all race'!AC43)*100</f>
        <v>1.7241379310344827</v>
      </c>
      <c r="P47" s="92">
        <f>+('Hispanic &amp; Non-resident'!AC43/'all race'!AH43)*100</f>
        <v>3.4146341463414638</v>
      </c>
    </row>
    <row r="48" spans="1:16">
      <c r="A48" s="26" t="s">
        <v>139</v>
      </c>
      <c r="B48" s="26"/>
      <c r="C48" s="26">
        <f>+'Total Doctorates'!AZ44</f>
        <v>2140</v>
      </c>
      <c r="D48" s="69">
        <f>+(('Total Doctorates'!AZ44-'Total Doctorates'!AU44)/'Total Doctorates'!AU44)*100</f>
        <v>-2.1937842778793417</v>
      </c>
      <c r="E48" s="65">
        <f>(Public!X44/'Total Doctorates'!AU44)*100</f>
        <v>95.566727605118828</v>
      </c>
      <c r="F48" s="69">
        <f>+(Public!AC44/'Total Doctorates'!AZ44)*100</f>
        <v>95.046728971962608</v>
      </c>
      <c r="G48" s="65">
        <f>+(Gender!CR44/'Total Doctorates'!AU44)*100</f>
        <v>44.789762340036567</v>
      </c>
      <c r="H48" s="69">
        <f>+(Gender!CW44/'Total Doctorates'!AZ44)*100</f>
        <v>45.794392523364486</v>
      </c>
      <c r="I48" s="65">
        <f>+('Hispanic &amp; Non-resident'!AZ44/'Total Doctorates'!AU44)*100</f>
        <v>31.672760511882998</v>
      </c>
      <c r="J48" s="69">
        <f>+('Hispanic &amp; Non-resident'!BE44/'Total Doctorates'!AZ44)*100</f>
        <v>35</v>
      </c>
      <c r="K48" s="65">
        <f>+(black!AC44/'all race'!AC44)*100</f>
        <v>9.1800981079187096</v>
      </c>
      <c r="L48" s="81">
        <f>+(black!BZ44/black!AC44)*100</f>
        <v>0</v>
      </c>
      <c r="M48" s="65">
        <f>+(black!AH44/'all race'!AH44)*100</f>
        <v>10.336906584992343</v>
      </c>
      <c r="N48" s="81">
        <f>+(black!CE44/black!AH44)*100</f>
        <v>0</v>
      </c>
      <c r="O48" s="65">
        <f>+('Hispanic &amp; Non-resident'!X44/'all race'!AC44)*100</f>
        <v>5.1156271899089001</v>
      </c>
      <c r="P48" s="91">
        <f>+('Hispanic &amp; Non-resident'!AC44/'all race'!AH44)*100</f>
        <v>6.3552833078101072</v>
      </c>
    </row>
    <row r="49" spans="1:16">
      <c r="A49" s="26" t="s">
        <v>140</v>
      </c>
      <c r="B49" s="26"/>
      <c r="C49" s="26">
        <f>+'Total Doctorates'!AZ45</f>
        <v>992</v>
      </c>
      <c r="D49" s="69">
        <f>+(('Total Doctorates'!AZ45-'Total Doctorates'!AU45)/'Total Doctorates'!AU45)*100</f>
        <v>6.4377682403433472</v>
      </c>
      <c r="E49" s="65">
        <f>(Public!X45/'Total Doctorates'!AU45)*100</f>
        <v>86.695278969957073</v>
      </c>
      <c r="F49" s="69">
        <f>+(Public!AC45/'Total Doctorates'!AZ45)*100</f>
        <v>82.560483870967744</v>
      </c>
      <c r="G49" s="65">
        <f>+(Gender!CR45/'Total Doctorates'!AU45)*100</f>
        <v>46.459227467811161</v>
      </c>
      <c r="H49" s="69">
        <f>+(Gender!CW45/'Total Doctorates'!AZ45)*100</f>
        <v>51.108870967741936</v>
      </c>
      <c r="I49" s="65">
        <f>+('Hispanic &amp; Non-resident'!AZ45/'Total Doctorates'!AU45)*100</f>
        <v>27.57510729613734</v>
      </c>
      <c r="J49" s="69">
        <f>+('Hispanic &amp; Non-resident'!BE45/'Total Doctorates'!AZ45)*100</f>
        <v>30.544354838709676</v>
      </c>
      <c r="K49" s="65">
        <f>+(black!AC45/'all race'!AC45)*100</f>
        <v>4.3681747269890794</v>
      </c>
      <c r="L49" s="81">
        <f>+(black!BZ45/black!AC45)*100</f>
        <v>17.857142857142858</v>
      </c>
      <c r="M49" s="65">
        <f>+(black!AH45/'all race'!AH45)*100</f>
        <v>6.5052950075642961</v>
      </c>
      <c r="N49" s="81">
        <f>+(black!CE45/black!AH45)*100</f>
        <v>0</v>
      </c>
      <c r="O49" s="65">
        <f>+('Hispanic &amp; Non-resident'!X45/'all race'!AC45)*100</f>
        <v>3.4321372854914198</v>
      </c>
      <c r="P49" s="91">
        <f>+('Hispanic &amp; Non-resident'!AC45/'all race'!AH45)*100</f>
        <v>4.3872919818456886</v>
      </c>
    </row>
    <row r="50" spans="1:16">
      <c r="A50" s="26" t="s">
        <v>141</v>
      </c>
      <c r="B50" s="26"/>
      <c r="C50" s="26">
        <f>+'Total Doctorates'!AZ46</f>
        <v>1750</v>
      </c>
      <c r="D50" s="69">
        <f>+(('Total Doctorates'!AZ46-'Total Doctorates'!AU46)/'Total Doctorates'!AU46)*100</f>
        <v>18.243243243243242</v>
      </c>
      <c r="E50" s="65">
        <f>(Public!X46/'Total Doctorates'!AU46)*100</f>
        <v>43.243243243243242</v>
      </c>
      <c r="F50" s="69">
        <f>+(Public!AC46/'Total Doctorates'!AZ46)*100</f>
        <v>43.085714285714289</v>
      </c>
      <c r="G50" s="65">
        <f>+(Gender!CR46/'Total Doctorates'!AU46)*100</f>
        <v>54.594594594594589</v>
      </c>
      <c r="H50" s="69">
        <f>+(Gender!CW46/'Total Doctorates'!AZ46)*100</f>
        <v>57.199999999999996</v>
      </c>
      <c r="I50" s="65">
        <f>+('Hispanic &amp; Non-resident'!AZ46/'Total Doctorates'!AU46)*100</f>
        <v>21.418918918918919</v>
      </c>
      <c r="J50" s="69">
        <f>+('Hispanic &amp; Non-resident'!BE46/'Total Doctorates'!AZ46)*100</f>
        <v>23.599999999999998</v>
      </c>
      <c r="K50" s="65">
        <f>+(black!AC46/'all race'!AC46)*100</f>
        <v>8.8372093023255811</v>
      </c>
      <c r="L50" s="81">
        <f>+(black!BZ46/black!AC46)*100</f>
        <v>0</v>
      </c>
      <c r="M50" s="65">
        <f>+(black!AH46/'all race'!AH46)*100</f>
        <v>11.612903225806452</v>
      </c>
      <c r="N50" s="81">
        <f>+(black!CE46/black!AH46)*100</f>
        <v>0</v>
      </c>
      <c r="O50" s="65">
        <f>+('Hispanic &amp; Non-resident'!X46/'all race'!AC46)*100</f>
        <v>2.6976744186046511</v>
      </c>
      <c r="P50" s="91">
        <f>+('Hispanic &amp; Non-resident'!AC46/'all race'!AH46)*100</f>
        <v>3.870967741935484</v>
      </c>
    </row>
    <row r="51" spans="1:16">
      <c r="A51" s="26" t="s">
        <v>144</v>
      </c>
      <c r="B51" s="26"/>
      <c r="C51" s="26">
        <f>+'Total Doctorates'!AZ47</f>
        <v>479</v>
      </c>
      <c r="D51" s="69">
        <f>+(('Total Doctorates'!AZ47-'Total Doctorates'!AU47)/'Total Doctorates'!AU47)*100</f>
        <v>17.690417690417689</v>
      </c>
      <c r="E51" s="65">
        <f>(Public!X47/'Total Doctorates'!AU47)*100</f>
        <v>96.805896805896808</v>
      </c>
      <c r="F51" s="69">
        <f>+(Public!AC47/'Total Doctorates'!AZ47)*100</f>
        <v>88.726513569937367</v>
      </c>
      <c r="G51" s="65">
        <f>+(Gender!CR47/'Total Doctorates'!AU47)*100</f>
        <v>54.299754299754298</v>
      </c>
      <c r="H51" s="69">
        <f>+(Gender!CW47/'Total Doctorates'!AZ47)*100</f>
        <v>48.434237995824638</v>
      </c>
      <c r="I51" s="65">
        <f>+('Hispanic &amp; Non-resident'!AZ47/'Total Doctorates'!AU47)*100</f>
        <v>30.712530712530711</v>
      </c>
      <c r="J51" s="69">
        <f>+('Hispanic &amp; Non-resident'!BE47/'Total Doctorates'!AZ47)*100</f>
        <v>31.941544885177453</v>
      </c>
      <c r="K51" s="65">
        <f>+(black!AC47/'all race'!AC47)*100</f>
        <v>3.4090909090909087</v>
      </c>
      <c r="L51" s="81">
        <f>+(black!BZ47/black!AC47)*100</f>
        <v>0</v>
      </c>
      <c r="M51" s="65">
        <f>+(black!AH47/'all race'!AH47)*100</f>
        <v>3.215434083601286</v>
      </c>
      <c r="N51" s="81">
        <f>+(black!CE47/black!AH47)*100</f>
        <v>0</v>
      </c>
      <c r="O51" s="65">
        <f>+('Hispanic &amp; Non-resident'!X47/'all race'!AC47)*100</f>
        <v>4.9242424242424239</v>
      </c>
      <c r="P51" s="91">
        <f>+('Hispanic &amp; Non-resident'!AC47/'all race'!AH47)*100</f>
        <v>3.536977491961415</v>
      </c>
    </row>
    <row r="52" spans="1:16">
      <c r="A52" s="27" t="s">
        <v>143</v>
      </c>
      <c r="B52" s="27"/>
      <c r="C52" s="27">
        <f>+'Total Doctorates'!AZ48</f>
        <v>174</v>
      </c>
      <c r="D52" s="70">
        <f>+(('Total Doctorates'!AZ48-'Total Doctorates'!AU48)/'Total Doctorates'!AU48)*100</f>
        <v>6.7484662576687118</v>
      </c>
      <c r="E52" s="66">
        <f>(Public!X48/'Total Doctorates'!AU48)*100</f>
        <v>100</v>
      </c>
      <c r="F52" s="70">
        <f>+(Public!AC48/'Total Doctorates'!AZ48)*100</f>
        <v>100</v>
      </c>
      <c r="G52" s="66">
        <f>+(Gender!CR48/'Total Doctorates'!AU48)*100</f>
        <v>42.331288343558285</v>
      </c>
      <c r="H52" s="70">
        <f>+(Gender!CW48/'Total Doctorates'!AZ48)*100</f>
        <v>47.126436781609193</v>
      </c>
      <c r="I52" s="66">
        <f>+('Hispanic &amp; Non-resident'!AZ48/'Total Doctorates'!AU48)*100</f>
        <v>36.809815950920246</v>
      </c>
      <c r="J52" s="70">
        <f>+('Hispanic &amp; Non-resident'!BE48/'Total Doctorates'!AZ48)*100</f>
        <v>36.206896551724135</v>
      </c>
      <c r="K52" s="66">
        <f>+(black!AC48/'all race'!AC48)*100</f>
        <v>2.2727272727272729</v>
      </c>
      <c r="L52" s="73">
        <f>+(black!BZ48/black!AC48)*100</f>
        <v>0</v>
      </c>
      <c r="M52" s="66">
        <f>+(black!AH48/'all race'!AH48)*100</f>
        <v>8.4905660377358494</v>
      </c>
      <c r="N52" s="73">
        <f>+(black!CE48/black!AH48)*100</f>
        <v>0</v>
      </c>
      <c r="O52" s="66">
        <f>+('Hispanic &amp; Non-resident'!X48/'all race'!AC48)*100</f>
        <v>2.2727272727272729</v>
      </c>
      <c r="P52" s="92">
        <f>+('Hispanic &amp; Non-resident'!AC48/'all race'!AH48)*100</f>
        <v>0.94339622641509435</v>
      </c>
    </row>
    <row r="53" spans="1:16">
      <c r="A53" s="27" t="s">
        <v>150</v>
      </c>
      <c r="B53" s="27"/>
      <c r="C53" s="27">
        <f>+'Total Doctorates'!AZ49</f>
        <v>2237</v>
      </c>
      <c r="D53" s="70">
        <f>+(('Total Doctorates'!AZ49-'Total Doctorates'!AU49)/'Total Doctorates'!AU49)*100</f>
        <v>8.3292978208232444</v>
      </c>
      <c r="E53" s="66">
        <f>(Public!X49/'Total Doctorates'!AU49)*100</f>
        <v>85.762711864406782</v>
      </c>
      <c r="F53" s="70">
        <f>+(Public!AC49/'Total Doctorates'!AZ49)*100</f>
        <v>86.678587393831023</v>
      </c>
      <c r="G53" s="66">
        <f>+(Gender!CR49/'Total Doctorates'!AU49)*100</f>
        <v>47.263922518159809</v>
      </c>
      <c r="H53" s="70">
        <f>+(Gender!CW49/'Total Doctorates'!AZ49)*100</f>
        <v>49.441215914170769</v>
      </c>
      <c r="I53" s="66">
        <f>+('Hispanic &amp; Non-resident'!AZ49/'Total Doctorates'!AU49)*100</f>
        <v>37.142857142857146</v>
      </c>
      <c r="J53" s="70">
        <f>+('Hispanic &amp; Non-resident'!BE49/'Total Doctorates'!AZ49)*100</f>
        <v>35.225748770675011</v>
      </c>
      <c r="K53" s="66">
        <f>+(black!AC49/'all race'!AC49)*100</f>
        <v>8.063175394846219</v>
      </c>
      <c r="L53" s="73">
        <f>+(black!BZ49/black!AC49)*100</f>
        <v>0</v>
      </c>
      <c r="M53" s="66">
        <f>+(black!AH49/'all race'!AH49)*100</f>
        <v>7.3294629898403478</v>
      </c>
      <c r="N53" s="73">
        <f>+(black!CE49/black!AH49)*100</f>
        <v>3.9603960396039604</v>
      </c>
      <c r="O53" s="66">
        <f>+('Hispanic &amp; Non-resident'!X49/'all race'!AC49)*100</f>
        <v>3.3250207813798838</v>
      </c>
      <c r="P53" s="92">
        <f>+('Hispanic &amp; Non-resident'!AC49/'all race'!AH49)*100</f>
        <v>4.7895500725689404</v>
      </c>
    </row>
    <row r="54" spans="1:16">
      <c r="A54" s="27" t="s">
        <v>154</v>
      </c>
      <c r="B54" s="27"/>
      <c r="C54" s="27">
        <f>+'Total Doctorates'!AZ50</f>
        <v>163</v>
      </c>
      <c r="D54" s="70">
        <f>+(('Total Doctorates'!AZ50-'Total Doctorates'!AU50)/'Total Doctorates'!AU50)*100</f>
        <v>20.74074074074074</v>
      </c>
      <c r="E54" s="66">
        <f>(Public!X50/'Total Doctorates'!AU50)*100</f>
        <v>100</v>
      </c>
      <c r="F54" s="70">
        <f>+(Public!AC50/'Total Doctorates'!AZ50)*100</f>
        <v>75.460122699386503</v>
      </c>
      <c r="G54" s="66">
        <f>+(Gender!CR50/'Total Doctorates'!AU50)*100</f>
        <v>49.629629629629626</v>
      </c>
      <c r="H54" s="70">
        <f>+(Gender!CW50/'Total Doctorates'!AZ50)*100</f>
        <v>41.717791411042946</v>
      </c>
      <c r="I54" s="66">
        <f>+('Hispanic &amp; Non-resident'!AZ50/'Total Doctorates'!AU50)*100</f>
        <v>34.814814814814817</v>
      </c>
      <c r="J54" s="70">
        <f>+('Hispanic &amp; Non-resident'!BE50/'Total Doctorates'!AZ50)*100</f>
        <v>25.153374233128833</v>
      </c>
      <c r="K54" s="66">
        <f>+(black!AC50/'all race'!AC50)*100</f>
        <v>1.1363636363636365</v>
      </c>
      <c r="L54" s="73">
        <f>+(black!BZ50/black!AC50)*100</f>
        <v>0</v>
      </c>
      <c r="M54" s="66">
        <f>+(black!AH50/'all race'!AH50)*100</f>
        <v>3.4188034188034191</v>
      </c>
      <c r="N54" s="73">
        <f>+(black!CE50/black!AH50)*100</f>
        <v>0</v>
      </c>
      <c r="O54" s="66">
        <f>+('Hispanic &amp; Non-resident'!X50/'all race'!AC50)*100</f>
        <v>2.2727272727272729</v>
      </c>
      <c r="P54" s="92">
        <f>+('Hispanic &amp; Non-resident'!AC50/'all race'!AH50)*100</f>
        <v>5.1282051282051277</v>
      </c>
    </row>
    <row r="55" spans="1:16">
      <c r="A55" s="27" t="s">
        <v>157</v>
      </c>
      <c r="B55" s="27"/>
      <c r="C55" s="28">
        <f>+'Total Doctorates'!AZ51</f>
        <v>1142</v>
      </c>
      <c r="D55" s="71">
        <f>+(('Total Doctorates'!AZ51-'Total Doctorates'!AU51)/'Total Doctorates'!AU51)*100</f>
        <v>-3.9529015979814974</v>
      </c>
      <c r="E55" s="100">
        <f>(Public!X51/'Total Doctorates'!AU51)*100</f>
        <v>84.104289318755249</v>
      </c>
      <c r="F55" s="71">
        <f>+(Public!AC51/'Total Doctorates'!AZ51)*100</f>
        <v>86.07705779334502</v>
      </c>
      <c r="G55" s="100">
        <f>+(Gender!CR51/'Total Doctorates'!AU51)*100</f>
        <v>49.705634987384357</v>
      </c>
      <c r="H55" s="71">
        <f>+(Gender!CW51/'Total Doctorates'!AZ51)*100</f>
        <v>45.359019264448335</v>
      </c>
      <c r="I55" s="100">
        <f>+('Hispanic &amp; Non-resident'!AZ51/'Total Doctorates'!AU51)*100</f>
        <v>28.006728343145497</v>
      </c>
      <c r="J55" s="71">
        <f>+('Hispanic &amp; Non-resident'!BE51/'Total Doctorates'!AZ51)*100</f>
        <v>32.749562171628725</v>
      </c>
      <c r="K55" s="66">
        <f>+(black!AC51/'all race'!AC51)*100</f>
        <v>5.6179775280898872</v>
      </c>
      <c r="L55" s="74">
        <f>+(black!BZ51/black!AC51)*100</f>
        <v>0</v>
      </c>
      <c r="M55" s="100">
        <f>+(black!AH51/'all race'!AH51)*100</f>
        <v>4.1310541310541309</v>
      </c>
      <c r="N55" s="74">
        <f>+(black!CE51/black!AH51)*100</f>
        <v>0</v>
      </c>
      <c r="O55" s="100">
        <f>+('Hispanic &amp; Non-resident'!X51/'all race'!AC51)*100</f>
        <v>3.4956304619225969</v>
      </c>
      <c r="P55" s="93">
        <f>+('Hispanic &amp; Non-resident'!AC51/'all race'!AH51)*100</f>
        <v>6.9800569800569798</v>
      </c>
    </row>
    <row r="56" spans="1:16">
      <c r="A56" s="29" t="s">
        <v>212</v>
      </c>
      <c r="B56" s="29"/>
      <c r="C56" s="26">
        <f>+'Total Doctorates'!AZ52</f>
        <v>14686</v>
      </c>
      <c r="D56" s="69">
        <f>+(('Total Doctorates'!AZ52-'Total Doctorates'!AU52)/'Total Doctorates'!AU52)*100</f>
        <v>5.2608944954128445</v>
      </c>
      <c r="E56" s="65">
        <f>(Public!X52/'Total Doctorates'!AU52)*100</f>
        <v>35.959002293577981</v>
      </c>
      <c r="F56" s="69">
        <f>+(Public!AC52/'Total Doctorates'!AZ52)*100</f>
        <v>36.551818058014433</v>
      </c>
      <c r="G56" s="65">
        <f>+(Gender!CR52/'Total Doctorates'!AU52)*100</f>
        <v>48.967889908256879</v>
      </c>
      <c r="H56" s="69">
        <f>+(Gender!CW52/'Total Doctorates'!AZ52)*100</f>
        <v>48.604112760452132</v>
      </c>
      <c r="I56" s="65">
        <f>+('Hispanic &amp; Non-resident'!AZ52/'Total Doctorates'!AU52)*100</f>
        <v>32.045584862385326</v>
      </c>
      <c r="J56" s="69">
        <f>+('Hispanic &amp; Non-resident'!BE52/'Total Doctorates'!AZ52)*100</f>
        <v>32.820373144491356</v>
      </c>
      <c r="K56" s="67">
        <f>+(black!AC52/'all race'!AC52)*100</f>
        <v>5.910619894281596</v>
      </c>
      <c r="L56" s="81">
        <f>+(black!BZ52/black!AC52)*100</f>
        <v>2.4390243902439024</v>
      </c>
      <c r="M56" s="65">
        <f>+(black!AH52/'all race'!AH52)*100</f>
        <v>7.4090604775719697</v>
      </c>
      <c r="N56" s="81">
        <f>+(black!CE52/black!AH52)*100</f>
        <v>1.6566265060240966</v>
      </c>
      <c r="O56" s="65">
        <f>+('Hispanic &amp; Non-resident'!X52/'all race'!AC52)*100</f>
        <v>5.586256607400288</v>
      </c>
      <c r="P56" s="91">
        <f>+('Hispanic &amp; Non-resident'!AC52/'all race'!AH52)*100</f>
        <v>7.4425351484043736</v>
      </c>
    </row>
    <row r="57" spans="1:16">
      <c r="A57" s="26" t="s">
        <v>209</v>
      </c>
      <c r="B57" s="26"/>
      <c r="C57" s="65">
        <f>+'Total Doctorates'!AZ53</f>
        <v>21.072115246649638</v>
      </c>
      <c r="D57" s="69"/>
      <c r="E57" s="65"/>
      <c r="F57" s="69"/>
      <c r="G57" s="65"/>
      <c r="H57" s="69"/>
      <c r="I57" s="65"/>
      <c r="J57" s="69"/>
      <c r="K57" s="65"/>
      <c r="L57" s="81"/>
      <c r="M57" s="65"/>
      <c r="N57" s="81"/>
      <c r="O57" s="65"/>
      <c r="P57" s="91"/>
    </row>
    <row r="58" spans="1:16">
      <c r="A58" s="27" t="s">
        <v>129</v>
      </c>
      <c r="B58" s="27"/>
      <c r="C58" s="27">
        <f>+'Total Doctorates'!AZ54</f>
        <v>864</v>
      </c>
      <c r="D58" s="70">
        <f>+(('Total Doctorates'!AZ54-'Total Doctorates'!AU54)/'Total Doctorates'!AU54)*100</f>
        <v>9.3670886075949369</v>
      </c>
      <c r="E58" s="66">
        <f>(Public!X54/'Total Doctorates'!AU54)*100</f>
        <v>42.531645569620252</v>
      </c>
      <c r="F58" s="70">
        <f>+(Public!AC54/'Total Doctorates'!AZ54)*100</f>
        <v>44.328703703703702</v>
      </c>
      <c r="G58" s="66">
        <f>+(Gender!CR54/'Total Doctorates'!AU54)*100</f>
        <v>46.962025316455694</v>
      </c>
      <c r="H58" s="70">
        <f>+(Gender!CW54/'Total Doctorates'!AZ54)*100</f>
        <v>46.75925925925926</v>
      </c>
      <c r="I58" s="66">
        <f>+('Hispanic &amp; Non-resident'!AZ54/'Total Doctorates'!AU54)*100</f>
        <v>33.544303797468359</v>
      </c>
      <c r="J58" s="70">
        <f>+('Hispanic &amp; Non-resident'!BE54/'Total Doctorates'!AZ54)*100</f>
        <v>35.300925925925924</v>
      </c>
      <c r="K58" s="66">
        <f>+(black!AC54/'all race'!AC54)*100</f>
        <v>2.6785714285714284</v>
      </c>
      <c r="L58" s="73">
        <f>+(black!BZ54/black!AC54)*100</f>
        <v>0</v>
      </c>
      <c r="M58" s="66">
        <f>+(black!AH54/'all race'!AH54)*100</f>
        <v>2.8680688336520075</v>
      </c>
      <c r="N58" s="73">
        <f>+(black!CE54/black!AH54)*100</f>
        <v>0</v>
      </c>
      <c r="O58" s="66">
        <f>+('Hispanic &amp; Non-resident'!X54/'all race'!AC54)*100</f>
        <v>6.0267857142857144</v>
      </c>
      <c r="P58" s="92">
        <f>+('Hispanic &amp; Non-resident'!AC54/'all race'!AH54)*100</f>
        <v>6.6921606118546846</v>
      </c>
    </row>
    <row r="59" spans="1:16">
      <c r="A59" s="27" t="s">
        <v>138</v>
      </c>
      <c r="B59" s="27"/>
      <c r="C59" s="27">
        <f>+'Total Doctorates'!AZ55</f>
        <v>171</v>
      </c>
      <c r="D59" s="70">
        <f>+(('Total Doctorates'!AZ55-'Total Doctorates'!AU55)/'Total Doctorates'!AU55)*100</f>
        <v>98.837209302325576</v>
      </c>
      <c r="E59" s="66">
        <f>(Public!X55/'Total Doctorates'!AU55)*100</f>
        <v>96.511627906976756</v>
      </c>
      <c r="F59" s="70">
        <f>+(Public!AC55/'Total Doctorates'!AZ55)*100</f>
        <v>46.198830409356724</v>
      </c>
      <c r="G59" s="66">
        <f>+(Gender!CR55/'Total Doctorates'!AU55)*100</f>
        <v>54.651162790697668</v>
      </c>
      <c r="H59" s="70">
        <f>+(Gender!CW55/'Total Doctorates'!AZ55)*100</f>
        <v>63.157894736842103</v>
      </c>
      <c r="I59" s="66">
        <f>+('Hispanic &amp; Non-resident'!AZ55/'Total Doctorates'!AU55)*100</f>
        <v>17.441860465116278</v>
      </c>
      <c r="J59" s="70">
        <f>+('Hispanic &amp; Non-resident'!BE55/'Total Doctorates'!AZ55)*100</f>
        <v>8.1871345029239766</v>
      </c>
      <c r="K59" s="66">
        <f>+(black!AC55/'all race'!AC55)*100</f>
        <v>1.5384615384615385</v>
      </c>
      <c r="L59" s="73">
        <f>+(black!BZ55/black!AC55)*100</f>
        <v>0</v>
      </c>
      <c r="M59" s="66">
        <f>+(black!AH55/'all race'!AH55)*100</f>
        <v>14.184397163120568</v>
      </c>
      <c r="N59" s="73">
        <f>+(black!CE55/black!AH55)*100</f>
        <v>0</v>
      </c>
      <c r="O59" s="66">
        <f>+('Hispanic &amp; Non-resident'!X55/'all race'!AC55)*100</f>
        <v>0</v>
      </c>
      <c r="P59" s="92">
        <f>+('Hispanic &amp; Non-resident'!AC55/'all race'!AH55)*100</f>
        <v>1.4184397163120568</v>
      </c>
    </row>
    <row r="60" spans="1:16">
      <c r="A60" s="27" t="s">
        <v>137</v>
      </c>
      <c r="B60" s="27"/>
      <c r="C60" s="27">
        <f>+'Total Doctorates'!AZ56</f>
        <v>3353</v>
      </c>
      <c r="D60" s="70">
        <f>+(('Total Doctorates'!AZ56-'Total Doctorates'!AU56)/'Total Doctorates'!AU56)*100</f>
        <v>8.8636363636363633</v>
      </c>
      <c r="E60" s="66">
        <f>(Public!X56/'Total Doctorates'!AU56)*100</f>
        <v>15.844155844155845</v>
      </c>
      <c r="F60" s="70">
        <f>+(Public!AC56/'Total Doctorates'!AZ56)*100</f>
        <v>18.610199821055769</v>
      </c>
      <c r="G60" s="66">
        <f>+(Gender!CR56/'Total Doctorates'!AU56)*100</f>
        <v>46.753246753246749</v>
      </c>
      <c r="H60" s="70">
        <f>+(Gender!CW56/'Total Doctorates'!AZ56)*100</f>
        <v>47.271100507008654</v>
      </c>
      <c r="I60" s="66">
        <f>+('Hispanic &amp; Non-resident'!AZ56/'Total Doctorates'!AU56)*100</f>
        <v>32.532467532467535</v>
      </c>
      <c r="J60" s="70">
        <f>+('Hispanic &amp; Non-resident'!BE56/'Total Doctorates'!AZ56)*100</f>
        <v>36.444974649567556</v>
      </c>
      <c r="K60" s="66">
        <f>+(black!AC56/'all race'!AC56)*100</f>
        <v>4.8131370328425822</v>
      </c>
      <c r="L60" s="73">
        <f>+(black!BZ56/black!AC56)*100</f>
        <v>7.0588235294117645</v>
      </c>
      <c r="M60" s="66">
        <f>+(black!AH56/'all race'!AH56)*100</f>
        <v>4.5031055900621118</v>
      </c>
      <c r="N60" s="73">
        <f>+(black!CE56/black!AH56)*100</f>
        <v>2.2988505747126435</v>
      </c>
      <c r="O60" s="66">
        <f>+('Hispanic &amp; Non-resident'!X56/'all race'!AC56)*100</f>
        <v>6.0022650056625135</v>
      </c>
      <c r="P60" s="92">
        <f>+('Hispanic &amp; Non-resident'!AC56/'all race'!AH56)*100</f>
        <v>7.5569358178053827</v>
      </c>
    </row>
    <row r="61" spans="1:16">
      <c r="A61" s="27" t="s">
        <v>145</v>
      </c>
      <c r="B61" s="27"/>
      <c r="C61" s="27">
        <f>+'Total Doctorates'!AZ57</f>
        <v>218</v>
      </c>
      <c r="D61" s="70">
        <f>+(('Total Doctorates'!AZ57-'Total Doctorates'!AU57)/'Total Doctorates'!AU57)*100</f>
        <v>12.953367875647666</v>
      </c>
      <c r="E61" s="66">
        <f>(Public!X57/'Total Doctorates'!AU57)*100</f>
        <v>41.968911917098445</v>
      </c>
      <c r="F61" s="70">
        <f>+(Public!AC57/'Total Doctorates'!AZ57)*100</f>
        <v>41.743119266055047</v>
      </c>
      <c r="G61" s="66">
        <f>+(Gender!CR57/'Total Doctorates'!AU57)*100</f>
        <v>50.777202072538863</v>
      </c>
      <c r="H61" s="70">
        <f>+(Gender!CW57/'Total Doctorates'!AZ57)*100</f>
        <v>45.871559633027523</v>
      </c>
      <c r="I61" s="66">
        <f>+('Hispanic &amp; Non-resident'!AZ57/'Total Doctorates'!AU57)*100</f>
        <v>26.424870466321241</v>
      </c>
      <c r="J61" s="70">
        <f>+('Hispanic &amp; Non-resident'!BE57/'Total Doctorates'!AZ57)*100</f>
        <v>27.522935779816514</v>
      </c>
      <c r="K61" s="66">
        <f>+(black!AC57/'all race'!AC57)*100</f>
        <v>2.4193548387096775</v>
      </c>
      <c r="L61" s="73">
        <f>+(black!BZ57/black!AC57)*100</f>
        <v>0</v>
      </c>
      <c r="M61" s="66">
        <f>+(black!AH57/'all race'!AH57)*100</f>
        <v>0</v>
      </c>
      <c r="N61" s="73" t="str">
        <f>IF(black!CE57&gt;0, ((black!CE57/black!AH57)*100), "NA")</f>
        <v>NA</v>
      </c>
      <c r="O61" s="66">
        <f>+('Hispanic &amp; Non-resident'!X57/'all race'!AC57)*100</f>
        <v>3.225806451612903</v>
      </c>
      <c r="P61" s="92">
        <f>+('Hispanic &amp; Non-resident'!AC57/'all race'!AH57)*100</f>
        <v>4.9645390070921991</v>
      </c>
    </row>
    <row r="62" spans="1:16">
      <c r="A62" s="26" t="s">
        <v>146</v>
      </c>
      <c r="B62" s="26"/>
      <c r="C62" s="26">
        <f>+'Total Doctorates'!AZ58</f>
        <v>1637</v>
      </c>
      <c r="D62" s="69">
        <f>+(('Total Doctorates'!AZ58-'Total Doctorates'!AU58)/'Total Doctorates'!AU58)*100</f>
        <v>17.600574712643677</v>
      </c>
      <c r="E62" s="101">
        <f>(Public!X58/'Total Doctorates'!AU58)*100</f>
        <v>57.47126436781609</v>
      </c>
      <c r="F62" s="69">
        <f>+(Public!AC58/'Total Doctorates'!AZ58)*100</f>
        <v>62.675626145387909</v>
      </c>
      <c r="G62" s="65">
        <f>+(Gender!CR58/'Total Doctorates'!AU58)*100</f>
        <v>49.137931034482754</v>
      </c>
      <c r="H62" s="69">
        <f>+(Gender!CW58/'Total Doctorates'!AZ58)*100</f>
        <v>49.725106902871104</v>
      </c>
      <c r="I62" s="65">
        <f>+('Hispanic &amp; Non-resident'!AZ58/'Total Doctorates'!AU58)*100</f>
        <v>31.25</v>
      </c>
      <c r="J62" s="69">
        <f>+('Hispanic &amp; Non-resident'!BE58/'Total Doctorates'!AZ58)*100</f>
        <v>29.016493585827735</v>
      </c>
      <c r="K62" s="65">
        <f>+(black!AC58/'all race'!AC58)*100</f>
        <v>10.64327485380117</v>
      </c>
      <c r="L62" s="81">
        <f>+(black!BZ58/black!AC58)*100</f>
        <v>6.593406593406594</v>
      </c>
      <c r="M62" s="65">
        <f>+(black!AH58/'all race'!AH58)*100</f>
        <v>12.25444340505145</v>
      </c>
      <c r="N62" s="81">
        <f>+(black!CE58/black!AH58)*100</f>
        <v>6.8702290076335881</v>
      </c>
      <c r="O62" s="65">
        <f>+('Hispanic &amp; Non-resident'!X58/'all race'!AC58)*100</f>
        <v>5.8479532163742682</v>
      </c>
      <c r="P62" s="91">
        <f>+('Hispanic &amp; Non-resident'!AC58/'all race'!AH58)*100</f>
        <v>9.2609915809167447</v>
      </c>
    </row>
    <row r="63" spans="1:16">
      <c r="A63" s="26" t="s">
        <v>149</v>
      </c>
      <c r="B63" s="26"/>
      <c r="C63" s="26">
        <f>+'Total Doctorates'!AZ59</f>
        <v>4798</v>
      </c>
      <c r="D63" s="69">
        <f>+(('Total Doctorates'!AZ59-'Total Doctorates'!AU59)/'Total Doctorates'!AU59)*100</f>
        <v>-1.1333195961261076</v>
      </c>
      <c r="E63" s="101">
        <f>(Public!X59/'Total Doctorates'!AU59)*100</f>
        <v>31.732948691531011</v>
      </c>
      <c r="F63" s="69">
        <f>+(Public!AC59/'Total Doctorates'!AZ59)*100</f>
        <v>31.61734055856607</v>
      </c>
      <c r="G63" s="65">
        <f>+(Gender!CR59/'Total Doctorates'!AU59)*100</f>
        <v>50.030908716257983</v>
      </c>
      <c r="H63" s="69">
        <f>+(Gender!CW59/'Total Doctorates'!AZ59)*100</f>
        <v>49.770737807419756</v>
      </c>
      <c r="I63" s="65">
        <f>+('Hispanic &amp; Non-resident'!AZ59/'Total Doctorates'!AU59)*100</f>
        <v>32.907479909334434</v>
      </c>
      <c r="J63" s="69">
        <f>+('Hispanic &amp; Non-resident'!BE59/'Total Doctorates'!AZ59)*100</f>
        <v>33.618174239266366</v>
      </c>
      <c r="K63" s="65">
        <f>+(black!AC59/'all race'!AC59)*100</f>
        <v>6.2851123595505616</v>
      </c>
      <c r="L63" s="81">
        <f>+(black!BZ59/black!AC59)*100</f>
        <v>0</v>
      </c>
      <c r="M63" s="65">
        <f>+(black!AH59/'all race'!AH59)*100</f>
        <v>7.5789473684210531</v>
      </c>
      <c r="N63" s="81">
        <f>+(black!CE59/black!AH59)*100</f>
        <v>0</v>
      </c>
      <c r="O63" s="65">
        <f>+('Hispanic &amp; Non-resident'!X59/'all race'!AC59)*100</f>
        <v>6.3904494382022472</v>
      </c>
      <c r="P63" s="91">
        <f>+('Hispanic &amp; Non-resident'!AC59/'all race'!AH59)*100</f>
        <v>8.7719298245614024</v>
      </c>
    </row>
    <row r="64" spans="1:16">
      <c r="A64" s="26" t="s">
        <v>152</v>
      </c>
      <c r="B64" s="26"/>
      <c r="C64" s="26">
        <f>+'Total Doctorates'!AZ60</f>
        <v>3177</v>
      </c>
      <c r="D64" s="69">
        <f>+(('Total Doctorates'!AZ60-'Total Doctorates'!AU60)/'Total Doctorates'!AU60)*100</f>
        <v>1.7942966997757128</v>
      </c>
      <c r="E64" s="101">
        <f>(Public!X60/'Total Doctorates'!AU60)*100</f>
        <v>48.253764818968278</v>
      </c>
      <c r="F64" s="69">
        <f>+(Public!AC60/'Total Doctorates'!AZ60)*100</f>
        <v>45.231350330500469</v>
      </c>
      <c r="G64" s="65">
        <f>+(Gender!CR60/'Total Doctorates'!AU60)*100</f>
        <v>48.574174943928227</v>
      </c>
      <c r="H64" s="69">
        <f>+(Gender!CW60/'Total Doctorates'!AZ60)*100</f>
        <v>48.032735284859932</v>
      </c>
      <c r="I64" s="65">
        <f>+('Hispanic &amp; Non-resident'!AZ60/'Total Doctorates'!AU60)*100</f>
        <v>31.880807433514903</v>
      </c>
      <c r="J64" s="69">
        <f>+('Hispanic &amp; Non-resident'!BE60/'Total Doctorates'!AZ60)*100</f>
        <v>32.231665092854897</v>
      </c>
      <c r="K64" s="65">
        <f>+(black!AC60/'all race'!AC60)*100</f>
        <v>5.6981519507186853</v>
      </c>
      <c r="L64" s="81">
        <f>+(black!BZ60/black!AC60)*100</f>
        <v>0</v>
      </c>
      <c r="M64" s="65">
        <f>+(black!AH60/'all race'!AH60)*100</f>
        <v>9.1591591591591595</v>
      </c>
      <c r="N64" s="81">
        <f>+(black!CE60/black!AH60)*100</f>
        <v>0</v>
      </c>
      <c r="O64" s="65">
        <f>+('Hispanic &amp; Non-resident'!X60/'all race'!AC60)*100</f>
        <v>3.9527720739219716</v>
      </c>
      <c r="P64" s="91">
        <f>+('Hispanic &amp; Non-resident'!AC60/'all race'!AH60)*100</f>
        <v>5.4054054054054053</v>
      </c>
    </row>
    <row r="65" spans="1:16">
      <c r="A65" s="26" t="s">
        <v>153</v>
      </c>
      <c r="B65" s="26"/>
      <c r="C65" s="26">
        <f>+'Total Doctorates'!AZ61</f>
        <v>362</v>
      </c>
      <c r="D65" s="69">
        <f>+(('Total Doctorates'!AZ61-'Total Doctorates'!AU61)/'Total Doctorates'!AU61)*100</f>
        <v>0.83565459610027859</v>
      </c>
      <c r="E65" s="101">
        <f>(Public!X61/'Total Doctorates'!AU61)*100</f>
        <v>31.197771587743734</v>
      </c>
      <c r="F65" s="69">
        <f>+(Public!AC61/'Total Doctorates'!AZ61)*100</f>
        <v>30.662983425414364</v>
      </c>
      <c r="G65" s="65">
        <f>+(Gender!CR61/'Total Doctorates'!AU61)*100</f>
        <v>57.381615598885794</v>
      </c>
      <c r="H65" s="69">
        <f>+(Gender!CW61/'Total Doctorates'!AZ61)*100</f>
        <v>43.922651933701658</v>
      </c>
      <c r="I65" s="65">
        <f>+('Hispanic &amp; Non-resident'!AZ61/'Total Doctorates'!AU61)*100</f>
        <v>26.18384401114206</v>
      </c>
      <c r="J65" s="69">
        <f>+('Hispanic &amp; Non-resident'!BE61/'Total Doctorates'!AZ61)*100</f>
        <v>24.033149171270718</v>
      </c>
      <c r="K65" s="65">
        <f>+(black!AC61/'all race'!AC61)*100</f>
        <v>4.2056074766355138</v>
      </c>
      <c r="L65" s="81">
        <f>+(black!BZ61/black!AC61)*100</f>
        <v>0</v>
      </c>
      <c r="M65" s="65">
        <f>+(black!AH61/'all race'!AH61)*100</f>
        <v>5.0847457627118651</v>
      </c>
      <c r="N65" s="81">
        <f>+(black!CE61/black!AH61)*100</f>
        <v>0</v>
      </c>
      <c r="O65" s="65">
        <f>+('Hispanic &amp; Non-resident'!X61/'all race'!AC61)*100</f>
        <v>6.5420560747663545</v>
      </c>
      <c r="P65" s="91">
        <f>+('Hispanic &amp; Non-resident'!AC61/'all race'!AH61)*100</f>
        <v>5.9322033898305087</v>
      </c>
    </row>
    <row r="66" spans="1:16">
      <c r="A66" s="25" t="s">
        <v>156</v>
      </c>
      <c r="B66" s="25"/>
      <c r="C66" s="25">
        <f>+'Total Doctorates'!AZ62</f>
        <v>106</v>
      </c>
      <c r="D66" s="72">
        <f>+(('Total Doctorates'!AZ62-'Total Doctorates'!AU62)/'Total Doctorates'!AU62)*100</f>
        <v>35.897435897435898</v>
      </c>
      <c r="E66" s="99">
        <f>(Public!X62/'Total Doctorates'!AU62)*100</f>
        <v>91.025641025641022</v>
      </c>
      <c r="F66" s="72">
        <f>+(Public!AC62/'Total Doctorates'!AZ62)*100</f>
        <v>94.339622641509436</v>
      </c>
      <c r="G66" s="99">
        <f>+(Gender!CR62/'Total Doctorates'!AU62)*100</f>
        <v>53.846153846153847</v>
      </c>
      <c r="H66" s="72">
        <f>+(Gender!CW62/'Total Doctorates'!AZ62)*100</f>
        <v>50.943396226415096</v>
      </c>
      <c r="I66" s="99">
        <f>+('Hispanic &amp; Non-resident'!AZ62/'Total Doctorates'!AU62)*100</f>
        <v>21.794871794871796</v>
      </c>
      <c r="J66" s="72">
        <f>+('Hispanic &amp; Non-resident'!BE62/'Total Doctorates'!AZ62)*100</f>
        <v>18.867924528301888</v>
      </c>
      <c r="K66" s="99">
        <f>+(black!AC62/'all race'!AC62)*100</f>
        <v>1.7857142857142856</v>
      </c>
      <c r="L66" s="76">
        <f>+(black!BZ62/black!AC62)*100</f>
        <v>0</v>
      </c>
      <c r="M66" s="99">
        <f>+(black!AH62/'all race'!AH62)*100</f>
        <v>0</v>
      </c>
      <c r="N66" s="76" t="str">
        <f>IF(black!CE62&gt;0, ((black!CE62/black!AH62)*100), "NA")</f>
        <v>NA</v>
      </c>
      <c r="O66" s="99">
        <f>+('Hispanic &amp; Non-resident'!X62/'all race'!AC62)*100</f>
        <v>8.9285714285714288</v>
      </c>
      <c r="P66" s="105">
        <f>+('Hispanic &amp; Non-resident'!AC62/'all race'!AH62)*100</f>
        <v>8.3333333333333321</v>
      </c>
    </row>
    <row r="67" spans="1:16">
      <c r="A67" s="30" t="s">
        <v>130</v>
      </c>
      <c r="B67" s="30"/>
      <c r="C67" s="28">
        <f>+'Total Doctorates'!AZ63</f>
        <v>670</v>
      </c>
      <c r="D67" s="71">
        <f>+(('Total Doctorates'!AZ63-'Total Doctorates'!AU63)/'Total Doctorates'!AU63)*100</f>
        <v>3.554868624420402</v>
      </c>
      <c r="E67" s="102">
        <f>(Public!X63/'Total Doctorates'!AU63)*100</f>
        <v>0</v>
      </c>
      <c r="F67" s="71">
        <f>+(Public!AC63/'Total Doctorates'!AZ63)*100</f>
        <v>0</v>
      </c>
      <c r="G67" s="100">
        <f>+(Gender!CR63/'Total Doctorates'!AU63)*100</f>
        <v>53.941267387944357</v>
      </c>
      <c r="H67" s="71">
        <f>+(Gender!CW63/'Total Doctorates'!AZ63)*100</f>
        <v>54.328358208955216</v>
      </c>
      <c r="I67" s="102">
        <f>+('Hispanic &amp; Non-resident'!AZ63/'Total Doctorates'!AU63)*100</f>
        <v>20.710973724884081</v>
      </c>
      <c r="J67" s="71">
        <f>+('Hispanic &amp; Non-resident'!BE63/'Total Doctorates'!AZ63)*100</f>
        <v>26.119402985074625</v>
      </c>
      <c r="K67" s="100">
        <f>+(black!AC63/'all race'!AC63)*100</f>
        <v>24.347826086956523</v>
      </c>
      <c r="L67" s="82">
        <f>+(black!BZ63/black!AC63)*100</f>
        <v>71.428571428571431</v>
      </c>
      <c r="M67" s="100">
        <f>+(black!AH63/'all race'!AH63)*100</f>
        <v>23.841059602649008</v>
      </c>
      <c r="N67" s="74">
        <f>+(black!CE63/black!AH63)*100</f>
        <v>54.629629629629626</v>
      </c>
      <c r="O67" s="100">
        <f>+('Hispanic &amp; Non-resident'!X63/'all race'!AC63)*100</f>
        <v>3.2608695652173911</v>
      </c>
      <c r="P67" s="94">
        <f>+('Hispanic &amp; Non-resident'!AC63/'all race'!AH63)*100</f>
        <v>5.9602649006622519</v>
      </c>
    </row>
    <row r="68" spans="1:16" s="83" customFormat="1" ht="23.25" customHeight="1">
      <c r="A68" s="83" t="s">
        <v>243</v>
      </c>
      <c r="D68" s="84"/>
      <c r="E68" s="85"/>
      <c r="F68" s="85"/>
      <c r="G68" s="84"/>
      <c r="H68" s="84"/>
      <c r="I68" s="84"/>
      <c r="J68" s="84"/>
      <c r="K68" s="84"/>
      <c r="L68" s="84"/>
      <c r="M68" s="84"/>
      <c r="N68" s="84"/>
      <c r="O68" s="84"/>
      <c r="P68" s="84"/>
    </row>
    <row r="69" spans="1:16" s="77" customFormat="1" ht="34.5" customHeight="1">
      <c r="A69" s="141" t="s">
        <v>233</v>
      </c>
      <c r="B69" s="141"/>
      <c r="C69" s="141"/>
      <c r="D69" s="141"/>
      <c r="E69" s="141"/>
      <c r="F69" s="141"/>
      <c r="G69" s="141"/>
      <c r="H69" s="141"/>
      <c r="I69" s="141"/>
      <c r="J69" s="141"/>
      <c r="K69" s="141"/>
      <c r="L69" s="141"/>
      <c r="M69" s="141"/>
      <c r="N69" s="141"/>
      <c r="O69" s="141"/>
      <c r="P69" s="141"/>
    </row>
    <row r="70" spans="1:16" ht="19.5" customHeight="1">
      <c r="A70" s="142" t="s">
        <v>230</v>
      </c>
      <c r="B70" s="142"/>
      <c r="C70" s="142"/>
      <c r="D70" s="142"/>
      <c r="E70" s="142"/>
      <c r="F70" s="142"/>
      <c r="G70" s="142"/>
      <c r="H70" s="142"/>
      <c r="I70" s="142"/>
      <c r="J70" s="142"/>
      <c r="K70" s="142"/>
      <c r="L70" s="142"/>
      <c r="M70" s="142"/>
      <c r="N70" s="142"/>
      <c r="O70" s="142"/>
      <c r="P70" s="142"/>
    </row>
    <row r="71" spans="1:16" ht="38.25" customHeight="1">
      <c r="A71" s="142" t="s">
        <v>244</v>
      </c>
      <c r="B71" s="142"/>
      <c r="C71" s="142"/>
      <c r="D71" s="142"/>
      <c r="E71" s="142"/>
      <c r="F71" s="142"/>
      <c r="G71" s="142"/>
      <c r="H71" s="142"/>
      <c r="I71" s="142"/>
      <c r="J71" s="142"/>
      <c r="K71" s="142"/>
      <c r="L71" s="142"/>
      <c r="M71" s="142"/>
      <c r="N71" s="142"/>
      <c r="O71" s="142"/>
      <c r="P71" s="142"/>
    </row>
    <row r="72" spans="1:16" s="86" customFormat="1" ht="18" customHeight="1">
      <c r="A72" s="143" t="s">
        <v>227</v>
      </c>
      <c r="B72" s="144"/>
      <c r="C72" s="144"/>
      <c r="D72" s="144"/>
      <c r="E72" s="144"/>
      <c r="F72" s="144"/>
      <c r="G72" s="144"/>
      <c r="H72" s="144"/>
      <c r="I72" s="144"/>
      <c r="J72" s="144"/>
      <c r="K72" s="144"/>
      <c r="L72" s="144"/>
      <c r="M72" s="144"/>
      <c r="N72" s="144"/>
      <c r="O72" s="144"/>
      <c r="P72" s="144"/>
    </row>
    <row r="73" spans="1:16">
      <c r="C73" s="4"/>
      <c r="O73" s="140" t="s">
        <v>239</v>
      </c>
      <c r="P73" s="140"/>
    </row>
  </sheetData>
  <mergeCells count="5">
    <mergeCell ref="O73:P73"/>
    <mergeCell ref="A69:P69"/>
    <mergeCell ref="A70:P70"/>
    <mergeCell ref="A71:P71"/>
    <mergeCell ref="A72:P72"/>
  </mergeCells>
  <pageMargins left="0.5" right="0.5" top="0.5" bottom="0.5" header="0.5" footer="0.5"/>
  <pageSetup scale="61" orientation="portrait" verticalDpi="300" r:id="rId1"/>
  <headerFooter alignWithMargins="0">
    <oddFooter>&amp;L&amp;"Arial,Regular"&amp;8SREB Fact Book&amp;R&amp;"Arial,Regular"&amp;8&amp;D</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62"/>
  </sheetPr>
  <dimension ref="A1:FB86"/>
  <sheetViews>
    <sheetView zoomScale="80" zoomScaleNormal="80" workbookViewId="0">
      <pane xSplit="1" ySplit="3" topLeftCell="AM4" activePane="bottomRight" state="frozen"/>
      <selection pane="topRight" activeCell="B1" sqref="B1"/>
      <selection pane="bottomLeft" activeCell="A4" sqref="A4"/>
      <selection pane="bottomRight" activeCell="AZ40" sqref="AZ40"/>
    </sheetView>
  </sheetViews>
  <sheetFormatPr defaultColWidth="9.1796875" defaultRowHeight="12.5"/>
  <cols>
    <col min="1" max="1" width="20.81640625" style="1" customWidth="1"/>
    <col min="2" max="38" width="8.81640625" style="4" customWidth="1"/>
    <col min="39" max="158" width="8.81640625" style="1" customWidth="1"/>
    <col min="159" max="16384" width="9.1796875" style="1"/>
  </cols>
  <sheetData>
    <row r="1" spans="1:65" ht="13">
      <c r="A1" s="7" t="s">
        <v>71</v>
      </c>
    </row>
    <row r="2" spans="1:65">
      <c r="BA2" s="1" t="s">
        <v>193</v>
      </c>
    </row>
    <row r="3" spans="1:65" s="31" customFormat="1" ht="13">
      <c r="B3" s="31" t="s">
        <v>2</v>
      </c>
      <c r="C3" s="31" t="s">
        <v>53</v>
      </c>
      <c r="D3" s="31" t="s">
        <v>3</v>
      </c>
      <c r="E3" s="31" t="s">
        <v>54</v>
      </c>
      <c r="F3" s="31" t="s">
        <v>4</v>
      </c>
      <c r="G3" s="31" t="s">
        <v>55</v>
      </c>
      <c r="H3" s="31" t="s">
        <v>5</v>
      </c>
      <c r="I3" s="31" t="s">
        <v>56</v>
      </c>
      <c r="J3" s="31" t="s">
        <v>6</v>
      </c>
      <c r="K3" s="31" t="s">
        <v>57</v>
      </c>
      <c r="L3" s="31" t="s">
        <v>7</v>
      </c>
      <c r="M3" s="31" t="s">
        <v>58</v>
      </c>
      <c r="N3" s="31" t="s">
        <v>8</v>
      </c>
      <c r="O3" s="31" t="s">
        <v>9</v>
      </c>
      <c r="P3" s="31" t="s">
        <v>59</v>
      </c>
      <c r="Q3" s="31" t="s">
        <v>60</v>
      </c>
      <c r="R3" s="31" t="s">
        <v>61</v>
      </c>
      <c r="S3" s="31" t="s">
        <v>62</v>
      </c>
      <c r="T3" s="31" t="s">
        <v>10</v>
      </c>
      <c r="U3" s="31" t="s">
        <v>63</v>
      </c>
      <c r="V3" s="31" t="s">
        <v>11</v>
      </c>
      <c r="W3" s="31" t="s">
        <v>12</v>
      </c>
      <c r="X3" s="31" t="s">
        <v>64</v>
      </c>
      <c r="Y3" s="31" t="s">
        <v>13</v>
      </c>
      <c r="Z3" s="31" t="s">
        <v>65</v>
      </c>
      <c r="AA3" s="31" t="s">
        <v>14</v>
      </c>
      <c r="AB3" s="31" t="s">
        <v>66</v>
      </c>
      <c r="AC3" s="31" t="s">
        <v>48</v>
      </c>
      <c r="AD3" s="31" t="s">
        <v>77</v>
      </c>
      <c r="AE3" s="31" t="s">
        <v>123</v>
      </c>
      <c r="AF3" s="31" t="s">
        <v>159</v>
      </c>
      <c r="AG3" s="31" t="s">
        <v>160</v>
      </c>
      <c r="AH3" s="31" t="s">
        <v>182</v>
      </c>
      <c r="AI3" s="31" t="s">
        <v>183</v>
      </c>
      <c r="AJ3" s="31" t="s">
        <v>167</v>
      </c>
      <c r="AK3" s="31" t="s">
        <v>178</v>
      </c>
      <c r="AL3" s="31" t="s">
        <v>179</v>
      </c>
      <c r="AM3" s="31" t="s">
        <v>181</v>
      </c>
      <c r="AN3" s="31" t="s">
        <v>192</v>
      </c>
      <c r="AO3" s="31" t="s">
        <v>205</v>
      </c>
      <c r="AP3" s="31" t="s">
        <v>207</v>
      </c>
      <c r="AQ3" s="31" t="s">
        <v>222</v>
      </c>
      <c r="AR3" s="31" t="s">
        <v>223</v>
      </c>
      <c r="AS3" s="31" t="s">
        <v>224</v>
      </c>
      <c r="AT3" s="31" t="s">
        <v>226</v>
      </c>
      <c r="AU3" s="119" t="s">
        <v>228</v>
      </c>
      <c r="AV3" s="118" t="s">
        <v>229</v>
      </c>
      <c r="AW3" s="118" t="s">
        <v>231</v>
      </c>
      <c r="AX3" s="118" t="s">
        <v>232</v>
      </c>
      <c r="AY3" s="95" t="s">
        <v>235</v>
      </c>
      <c r="AZ3" s="95" t="s">
        <v>236</v>
      </c>
      <c r="BA3" s="31" t="s">
        <v>194</v>
      </c>
      <c r="BB3" s="31" t="s">
        <v>195</v>
      </c>
      <c r="BC3" s="31" t="s">
        <v>196</v>
      </c>
      <c r="BD3" s="31" t="s">
        <v>197</v>
      </c>
      <c r="BE3" s="31" t="s">
        <v>198</v>
      </c>
      <c r="BF3" s="31" t="s">
        <v>199</v>
      </c>
      <c r="BG3" s="31" t="s">
        <v>200</v>
      </c>
      <c r="BH3" s="31" t="s">
        <v>201</v>
      </c>
      <c r="BI3" s="31" t="s">
        <v>202</v>
      </c>
      <c r="BJ3" s="31" t="s">
        <v>203</v>
      </c>
      <c r="BK3" s="31" t="s">
        <v>204</v>
      </c>
      <c r="BL3" s="31" t="s">
        <v>206</v>
      </c>
    </row>
    <row r="4" spans="1:65">
      <c r="A4" s="35" t="s">
        <v>208</v>
      </c>
      <c r="B4" s="36">
        <v>10575</v>
      </c>
      <c r="C4" s="36">
        <f>C5+C23+C38+C52+C63</f>
        <v>29854</v>
      </c>
      <c r="D4" s="36">
        <f t="shared" ref="D4:AP4" si="0">D5+D23+D38+D52+D63</f>
        <v>32088</v>
      </c>
      <c r="E4" s="36">
        <f t="shared" si="0"/>
        <v>33352</v>
      </c>
      <c r="F4" s="36">
        <f t="shared" si="0"/>
        <v>34768</v>
      </c>
      <c r="G4" s="36">
        <f t="shared" si="0"/>
        <v>33798</v>
      </c>
      <c r="H4" s="36">
        <f t="shared" si="0"/>
        <v>34066</v>
      </c>
      <c r="I4" s="36">
        <f t="shared" si="0"/>
        <v>34035</v>
      </c>
      <c r="J4" s="36">
        <f t="shared" si="0"/>
        <v>33217</v>
      </c>
      <c r="K4" s="36">
        <f t="shared" si="0"/>
        <v>32122</v>
      </c>
      <c r="L4" s="36">
        <f t="shared" si="0"/>
        <v>32715</v>
      </c>
      <c r="M4" s="36">
        <f t="shared" si="0"/>
        <v>32600</v>
      </c>
      <c r="N4" s="36">
        <f t="shared" si="0"/>
        <v>32946</v>
      </c>
      <c r="O4" s="36">
        <f t="shared" si="0"/>
        <v>32690</v>
      </c>
      <c r="P4" s="36">
        <f t="shared" si="0"/>
        <v>32762</v>
      </c>
      <c r="Q4" s="36">
        <f t="shared" si="0"/>
        <v>33189</v>
      </c>
      <c r="R4" s="36">
        <f t="shared" si="0"/>
        <v>32921</v>
      </c>
      <c r="S4" s="36">
        <f t="shared" si="0"/>
        <v>33633</v>
      </c>
      <c r="T4" s="36">
        <f t="shared" si="0"/>
        <v>34017</v>
      </c>
      <c r="U4" s="36">
        <f t="shared" si="0"/>
        <v>34813</v>
      </c>
      <c r="V4" s="36">
        <f t="shared" si="0"/>
        <v>35742</v>
      </c>
      <c r="W4" s="36">
        <f t="shared" si="0"/>
        <v>38347</v>
      </c>
      <c r="X4" s="36">
        <f t="shared" si="0"/>
        <v>39267</v>
      </c>
      <c r="Y4" s="36">
        <f t="shared" si="0"/>
        <v>40642</v>
      </c>
      <c r="Z4" s="36">
        <f t="shared" si="0"/>
        <v>42101</v>
      </c>
      <c r="AA4" s="36">
        <f t="shared" si="0"/>
        <v>43146</v>
      </c>
      <c r="AB4" s="36">
        <f t="shared" si="0"/>
        <v>44402</v>
      </c>
      <c r="AC4" s="36">
        <f t="shared" si="0"/>
        <v>44594</v>
      </c>
      <c r="AD4" s="36">
        <f t="shared" si="0"/>
        <v>45836</v>
      </c>
      <c r="AE4" s="36">
        <f t="shared" si="0"/>
        <v>46010</v>
      </c>
      <c r="AF4" s="36">
        <f t="shared" si="0"/>
        <v>44077</v>
      </c>
      <c r="AG4" s="36">
        <f t="shared" si="0"/>
        <v>44808</v>
      </c>
      <c r="AH4" s="36">
        <f t="shared" si="0"/>
        <v>44904</v>
      </c>
      <c r="AI4" s="36">
        <f t="shared" si="0"/>
        <v>44160</v>
      </c>
      <c r="AJ4" s="36">
        <f t="shared" si="0"/>
        <v>46042</v>
      </c>
      <c r="AK4" s="36">
        <f t="shared" si="0"/>
        <v>48353</v>
      </c>
      <c r="AL4" s="36">
        <f t="shared" si="0"/>
        <v>52631</v>
      </c>
      <c r="AM4" s="36">
        <f t="shared" si="0"/>
        <v>55841</v>
      </c>
      <c r="AN4" s="36">
        <f t="shared" si="0"/>
        <v>60616</v>
      </c>
      <c r="AO4" s="36">
        <f t="shared" si="0"/>
        <v>61329</v>
      </c>
      <c r="AP4" s="36">
        <f t="shared" si="0"/>
        <v>61419</v>
      </c>
      <c r="AQ4" s="36">
        <f t="shared" ref="AQ4:AR4" si="1">AQ5+AQ23+AQ38+AQ52+AQ63</f>
        <v>57124</v>
      </c>
      <c r="AR4" s="36">
        <f t="shared" si="1"/>
        <v>58177</v>
      </c>
      <c r="AS4" s="36">
        <f t="shared" ref="AS4:AT4" si="2">AS5+AS23+AS38+AS52+AS63</f>
        <v>60116</v>
      </c>
      <c r="AT4" s="36">
        <f t="shared" si="2"/>
        <v>62305</v>
      </c>
      <c r="AU4" s="36">
        <f t="shared" ref="AU4:AV4" si="3">AU5+AU23+AU38+AU52+AU63</f>
        <v>64366</v>
      </c>
      <c r="AV4" s="36">
        <f t="shared" si="3"/>
        <v>65774</v>
      </c>
      <c r="AW4" s="36">
        <f t="shared" ref="AW4:AX4" si="4">AW5+AW23+AW38+AW52+AW63</f>
        <v>65864</v>
      </c>
      <c r="AX4" s="36">
        <f t="shared" si="4"/>
        <v>67157</v>
      </c>
      <c r="AY4" s="36">
        <f t="shared" ref="AY4:AZ4" si="5">AY5+AY23+AY38+AY52+AY63</f>
        <v>68529</v>
      </c>
      <c r="AZ4" s="36">
        <f t="shared" si="5"/>
        <v>69694</v>
      </c>
      <c r="BA4" s="24">
        <f t="shared" ref="BA4:BG5" si="6">(AD4-T4)/T4</f>
        <v>0.34744392509627542</v>
      </c>
      <c r="BB4" s="24">
        <f t="shared" si="6"/>
        <v>0.32163272340792232</v>
      </c>
      <c r="BC4" s="24">
        <f t="shared" si="6"/>
        <v>0.23319903754686364</v>
      </c>
      <c r="BD4" s="24">
        <f t="shared" si="6"/>
        <v>0.16848775653897305</v>
      </c>
      <c r="BE4" s="24">
        <f t="shared" si="6"/>
        <v>0.14355565742226298</v>
      </c>
      <c r="BF4" s="24">
        <f t="shared" si="6"/>
        <v>8.6560700752915706E-2</v>
      </c>
      <c r="BG4" s="24">
        <f t="shared" si="6"/>
        <v>9.3608227833068103E-2</v>
      </c>
      <c r="BH4" s="24" t="e">
        <f>(#REF!-AA4)/AA4</f>
        <v>#REF!</v>
      </c>
      <c r="BI4" s="24">
        <f t="shared" ref="BI4:BL5" si="7">(AL4-AB4)/AB4</f>
        <v>0.1853294896626278</v>
      </c>
      <c r="BJ4" s="24">
        <f t="shared" si="7"/>
        <v>0.25220881732968559</v>
      </c>
      <c r="BK4" s="24">
        <f t="shared" si="7"/>
        <v>0.32245396631468715</v>
      </c>
      <c r="BL4" s="24">
        <f t="shared" si="7"/>
        <v>0.33294935883503585</v>
      </c>
    </row>
    <row r="5" spans="1:65">
      <c r="A5" s="37" t="s">
        <v>50</v>
      </c>
      <c r="B5" s="38">
        <f t="shared" ref="B5:C5" si="8">SUM(B7:B22)</f>
        <v>2770</v>
      </c>
      <c r="C5" s="38">
        <f t="shared" si="8"/>
        <v>6068</v>
      </c>
      <c r="D5" s="38">
        <f t="shared" ref="D5:AP5" si="9">SUM(D7:D22)</f>
        <v>6603</v>
      </c>
      <c r="E5" s="38">
        <f t="shared" si="9"/>
        <v>7123</v>
      </c>
      <c r="F5" s="38">
        <f t="shared" si="9"/>
        <v>7204</v>
      </c>
      <c r="G5" s="38">
        <f t="shared" si="9"/>
        <v>7352</v>
      </c>
      <c r="H5" s="38">
        <f t="shared" si="9"/>
        <v>7800</v>
      </c>
      <c r="I5" s="38">
        <f t="shared" si="9"/>
        <v>7975</v>
      </c>
      <c r="J5" s="38">
        <f t="shared" si="9"/>
        <v>7930</v>
      </c>
      <c r="K5" s="38">
        <f t="shared" si="9"/>
        <v>7744</v>
      </c>
      <c r="L5" s="38">
        <f t="shared" si="9"/>
        <v>8084</v>
      </c>
      <c r="M5" s="38">
        <f t="shared" si="9"/>
        <v>8077</v>
      </c>
      <c r="N5" s="38">
        <f t="shared" si="9"/>
        <v>7906</v>
      </c>
      <c r="O5" s="38">
        <f t="shared" si="9"/>
        <v>7769</v>
      </c>
      <c r="P5" s="38">
        <f t="shared" si="9"/>
        <v>8012</v>
      </c>
      <c r="Q5" s="38">
        <f t="shared" si="9"/>
        <v>8154</v>
      </c>
      <c r="R5" s="38">
        <f t="shared" si="9"/>
        <v>8156</v>
      </c>
      <c r="S5" s="38">
        <f t="shared" si="9"/>
        <v>8481</v>
      </c>
      <c r="T5" s="38">
        <f t="shared" si="9"/>
        <v>8642</v>
      </c>
      <c r="U5" s="38">
        <f t="shared" si="9"/>
        <v>8970</v>
      </c>
      <c r="V5" s="38">
        <f t="shared" si="9"/>
        <v>9135</v>
      </c>
      <c r="W5" s="38">
        <f t="shared" si="9"/>
        <v>9960</v>
      </c>
      <c r="X5" s="38">
        <f t="shared" si="9"/>
        <v>10195</v>
      </c>
      <c r="Y5" s="38">
        <f t="shared" si="9"/>
        <v>10923</v>
      </c>
      <c r="Z5" s="38">
        <f t="shared" si="9"/>
        <v>11406</v>
      </c>
      <c r="AA5" s="38">
        <f t="shared" si="9"/>
        <v>11705</v>
      </c>
      <c r="AB5" s="38">
        <f t="shared" si="9"/>
        <v>11976</v>
      </c>
      <c r="AC5" s="38">
        <f t="shared" si="9"/>
        <v>12394</v>
      </c>
      <c r="AD5" s="38">
        <f t="shared" si="9"/>
        <v>12727</v>
      </c>
      <c r="AE5" s="38">
        <f t="shared" si="9"/>
        <v>12831</v>
      </c>
      <c r="AF5" s="38">
        <f t="shared" si="9"/>
        <v>12752</v>
      </c>
      <c r="AG5" s="38">
        <f t="shared" si="9"/>
        <v>13109</v>
      </c>
      <c r="AH5" s="38">
        <f t="shared" si="9"/>
        <v>13074</v>
      </c>
      <c r="AI5" s="38">
        <f t="shared" si="9"/>
        <v>13176</v>
      </c>
      <c r="AJ5" s="38">
        <f t="shared" si="9"/>
        <v>13535</v>
      </c>
      <c r="AK5" s="38">
        <f t="shared" si="9"/>
        <v>14496</v>
      </c>
      <c r="AL5" s="38">
        <f t="shared" si="9"/>
        <v>15833</v>
      </c>
      <c r="AM5" s="38">
        <f t="shared" si="9"/>
        <v>16424</v>
      </c>
      <c r="AN5" s="38">
        <f t="shared" si="9"/>
        <v>18145</v>
      </c>
      <c r="AO5" s="38">
        <f t="shared" si="9"/>
        <v>18617</v>
      </c>
      <c r="AP5" s="38">
        <f t="shared" si="9"/>
        <v>18856</v>
      </c>
      <c r="AQ5" s="38">
        <f t="shared" ref="AQ5:AR5" si="10">SUM(AQ7:AQ22)</f>
        <v>17955</v>
      </c>
      <c r="AR5" s="38">
        <f t="shared" si="10"/>
        <v>18820</v>
      </c>
      <c r="AS5" s="38">
        <f t="shared" ref="AS5:AT5" si="11">SUM(AS7:AS22)</f>
        <v>19577</v>
      </c>
      <c r="AT5" s="38">
        <f t="shared" si="11"/>
        <v>20419</v>
      </c>
      <c r="AU5" s="38">
        <f t="shared" ref="AU5:AV5" si="12">SUM(AU7:AU22)</f>
        <v>21502</v>
      </c>
      <c r="AV5" s="38">
        <f t="shared" si="12"/>
        <v>22178</v>
      </c>
      <c r="AW5" s="38">
        <f t="shared" ref="AW5:AX5" si="13">SUM(AW7:AW22)</f>
        <v>22292</v>
      </c>
      <c r="AX5" s="38">
        <f t="shared" si="13"/>
        <v>23452</v>
      </c>
      <c r="AY5" s="38">
        <f t="shared" ref="AY5:AZ5" si="14">SUM(AY7:AY22)</f>
        <v>23708</v>
      </c>
      <c r="AZ5" s="38">
        <f t="shared" si="14"/>
        <v>23988</v>
      </c>
      <c r="BA5" s="24">
        <f t="shared" si="6"/>
        <v>0.47269150659569542</v>
      </c>
      <c r="BB5" s="24">
        <f t="shared" si="6"/>
        <v>0.43043478260869567</v>
      </c>
      <c r="BC5" s="24">
        <f t="shared" si="6"/>
        <v>0.39594964422550627</v>
      </c>
      <c r="BD5" s="24">
        <f t="shared" si="6"/>
        <v>0.31616465863453813</v>
      </c>
      <c r="BE5" s="24">
        <f t="shared" si="6"/>
        <v>0.28239333006375672</v>
      </c>
      <c r="BF5" s="24">
        <f t="shared" si="6"/>
        <v>0.20626201592968965</v>
      </c>
      <c r="BG5" s="24">
        <f t="shared" si="6"/>
        <v>0.18665614588812907</v>
      </c>
      <c r="BH5" s="24" t="e">
        <f>(#REF!-AA5)/AA5</f>
        <v>#REF!</v>
      </c>
      <c r="BI5" s="24">
        <f t="shared" si="7"/>
        <v>0.32206078824315298</v>
      </c>
      <c r="BJ5" s="24">
        <f t="shared" si="7"/>
        <v>0.32515733419396481</v>
      </c>
      <c r="BK5" s="24">
        <f t="shared" si="7"/>
        <v>0.4257091223383358</v>
      </c>
      <c r="BL5" s="24">
        <f t="shared" si="7"/>
        <v>0.45093913179019562</v>
      </c>
      <c r="BM5" s="24">
        <f>(AP5-AF5)/AF5</f>
        <v>0.47867001254705144</v>
      </c>
    </row>
    <row r="6" spans="1:65">
      <c r="A6" s="39" t="s">
        <v>213</v>
      </c>
      <c r="B6" s="40">
        <f t="shared" ref="B6" si="15">(B5/B4)*100</f>
        <v>26.193853427895981</v>
      </c>
      <c r="C6" s="40">
        <f t="shared" ref="C6" si="16">(C5/C4)*100</f>
        <v>20.32558451128827</v>
      </c>
      <c r="D6" s="40">
        <f t="shared" ref="D6" si="17">(D5/D4)*100</f>
        <v>20.577786088257294</v>
      </c>
      <c r="E6" s="40">
        <f t="shared" ref="E6" si="18">(E5/E4)*100</f>
        <v>21.357040057567762</v>
      </c>
      <c r="F6" s="40">
        <f t="shared" ref="F6" si="19">(F5/F4)*100</f>
        <v>20.720202485043718</v>
      </c>
      <c r="G6" s="40">
        <f t="shared" ref="G6" si="20">(G5/G4)*100</f>
        <v>21.752766435883782</v>
      </c>
      <c r="H6" s="40">
        <f t="shared" ref="H6" si="21">(H5/H4)*100</f>
        <v>22.896729877297012</v>
      </c>
      <c r="I6" s="40">
        <f t="shared" ref="I6" si="22">(I5/I4)*100</f>
        <v>23.43176142206552</v>
      </c>
      <c r="J6" s="40">
        <f t="shared" ref="J6" si="23">(J5/J4)*100</f>
        <v>23.873317879399103</v>
      </c>
      <c r="K6" s="40">
        <f t="shared" ref="K6" si="24">(K5/K4)*100</f>
        <v>24.108087914824729</v>
      </c>
      <c r="L6" s="40">
        <f t="shared" ref="L6" si="25">(L5/L4)*100</f>
        <v>24.710377502674614</v>
      </c>
      <c r="M6" s="40">
        <f t="shared" ref="M6" si="26">(M5/M4)*100</f>
        <v>24.776073619631902</v>
      </c>
      <c r="N6" s="40">
        <f t="shared" ref="N6" si="27">(N5/N4)*100</f>
        <v>23.996843319371091</v>
      </c>
      <c r="O6" s="40">
        <f t="shared" ref="O6" si="28">(O5/O4)*100</f>
        <v>23.765677577240744</v>
      </c>
      <c r="P6" s="40">
        <f t="shared" ref="P6" si="29">(P5/P4)*100</f>
        <v>24.455161467553875</v>
      </c>
      <c r="Q6" s="40">
        <f t="shared" ref="Q6" si="30">(Q5/Q4)*100</f>
        <v>24.568381090120219</v>
      </c>
      <c r="R6" s="40">
        <f t="shared" ref="R6" si="31">(R5/R4)*100</f>
        <v>24.77446007107925</v>
      </c>
      <c r="S6" s="40">
        <f t="shared" ref="S6" si="32">(S5/S4)*100</f>
        <v>25.21630541432522</v>
      </c>
      <c r="T6" s="40">
        <f t="shared" ref="T6" si="33">(T5/T4)*100</f>
        <v>25.404944586530263</v>
      </c>
      <c r="U6" s="40">
        <f t="shared" ref="U6" si="34">(U5/U4)*100</f>
        <v>25.766236750639127</v>
      </c>
      <c r="V6" s="40">
        <f t="shared" ref="V6" si="35">(V5/V4)*100</f>
        <v>25.558166862514685</v>
      </c>
      <c r="W6" s="40">
        <f t="shared" ref="W6" si="36">(W5/W4)*100</f>
        <v>25.973348632226774</v>
      </c>
      <c r="X6" s="40">
        <f t="shared" ref="X6" si="37">(X5/X4)*100</f>
        <v>25.963277051977485</v>
      </c>
      <c r="Y6" s="40">
        <f t="shared" ref="Y6" si="38">(Y5/Y4)*100</f>
        <v>26.876137985335369</v>
      </c>
      <c r="Z6" s="40">
        <f t="shared" ref="Z6" si="39">(Z5/Z4)*100</f>
        <v>27.09199306429776</v>
      </c>
      <c r="AA6" s="40">
        <f t="shared" ref="AA6" si="40">(AA5/AA4)*100</f>
        <v>27.128818430445463</v>
      </c>
      <c r="AB6" s="40">
        <f t="shared" ref="AB6" si="41">(AB5/AB4)*100</f>
        <v>26.971758028917613</v>
      </c>
      <c r="AC6" s="40">
        <f t="shared" ref="AC6" si="42">(AC5/AC4)*100</f>
        <v>27.792976633627841</v>
      </c>
      <c r="AD6" s="40">
        <f t="shared" ref="AD6" si="43">(AD5/AD4)*100</f>
        <v>27.766384501265378</v>
      </c>
      <c r="AE6" s="40">
        <f t="shared" ref="AE6" si="44">(AE5/AE4)*100</f>
        <v>27.887415779178436</v>
      </c>
      <c r="AF6" s="40">
        <f t="shared" ref="AF6" si="45">(AF5/AF4)*100</f>
        <v>28.931188601765097</v>
      </c>
      <c r="AG6" s="40">
        <f t="shared" ref="AG6" si="46">(AG5/AG4)*100</f>
        <v>29.255936439921442</v>
      </c>
      <c r="AH6" s="40">
        <f t="shared" ref="AH6" si="47">(AH5/AH4)*100</f>
        <v>29.115446285408876</v>
      </c>
      <c r="AI6" s="40">
        <f t="shared" ref="AI6" si="48">(AI5/AI4)*100</f>
        <v>29.836956521739133</v>
      </c>
      <c r="AJ6" s="40">
        <f t="shared" ref="AJ6" si="49">(AJ5/AJ4)*100</f>
        <v>29.397072238391036</v>
      </c>
      <c r="AK6" s="40">
        <f t="shared" ref="AK6" si="50">(AK5/AK4)*100</f>
        <v>29.979525572353317</v>
      </c>
      <c r="AL6" s="40">
        <f t="shared" ref="AL6" si="51">(AL5/AL4)*100</f>
        <v>30.083030913340046</v>
      </c>
      <c r="AM6" s="40">
        <f t="shared" ref="AM6" si="52">(AM5/AM4)*100</f>
        <v>29.412080729213301</v>
      </c>
      <c r="AN6" s="40">
        <f t="shared" ref="AN6" si="53">(AN5/AN4)*100</f>
        <v>29.934340768114033</v>
      </c>
      <c r="AO6" s="40">
        <f t="shared" ref="AO6" si="54">(AO5/AO4)*100</f>
        <v>30.355949061618482</v>
      </c>
      <c r="AP6" s="40">
        <f t="shared" ref="AP6:AQ6" si="55">(AP5/AP4)*100</f>
        <v>30.700597534964754</v>
      </c>
      <c r="AQ6" s="40">
        <f t="shared" si="55"/>
        <v>31.431622435403682</v>
      </c>
      <c r="AR6" s="40">
        <f t="shared" ref="AR6:AS6" si="56">(AR5/AR4)*100</f>
        <v>32.34955394743627</v>
      </c>
      <c r="AS6" s="40">
        <f t="shared" si="56"/>
        <v>32.5653736110187</v>
      </c>
      <c r="AT6" s="40">
        <f t="shared" ref="AT6:AV6" si="57">(AT5/AT4)*100</f>
        <v>32.772650670090684</v>
      </c>
      <c r="AU6" s="40">
        <f t="shared" si="57"/>
        <v>33.40583537892676</v>
      </c>
      <c r="AV6" s="40">
        <f t="shared" si="57"/>
        <v>33.718490588986526</v>
      </c>
      <c r="AW6" s="40">
        <f t="shared" ref="AW6:AX6" si="58">(AW5/AW4)*100</f>
        <v>33.845499817806392</v>
      </c>
      <c r="AX6" s="40">
        <f t="shared" si="58"/>
        <v>34.921154905668807</v>
      </c>
      <c r="AY6" s="40">
        <f t="shared" ref="AY6:AZ6" si="59">(AY5/AY4)*100</f>
        <v>34.595572677260719</v>
      </c>
      <c r="AZ6" s="40">
        <f t="shared" si="59"/>
        <v>34.419031767440529</v>
      </c>
    </row>
    <row r="7" spans="1:65">
      <c r="A7" s="37" t="s">
        <v>15</v>
      </c>
      <c r="B7" s="41">
        <v>43</v>
      </c>
      <c r="C7" s="41">
        <v>221</v>
      </c>
      <c r="D7" s="41">
        <v>265</v>
      </c>
      <c r="E7" s="41">
        <v>276</v>
      </c>
      <c r="F7" s="41">
        <v>268</v>
      </c>
      <c r="G7" s="41">
        <v>273</v>
      </c>
      <c r="H7" s="41">
        <v>196</v>
      </c>
      <c r="I7" s="41">
        <v>226</v>
      </c>
      <c r="J7" s="41">
        <v>257</v>
      </c>
      <c r="K7" s="41">
        <v>269</v>
      </c>
      <c r="L7" s="41">
        <v>267</v>
      </c>
      <c r="M7" s="41">
        <v>249</v>
      </c>
      <c r="N7" s="41">
        <v>254</v>
      </c>
      <c r="O7" s="41">
        <v>275</v>
      </c>
      <c r="P7" s="41">
        <v>281</v>
      </c>
      <c r="Q7" s="41">
        <v>267</v>
      </c>
      <c r="R7" s="41">
        <v>264</v>
      </c>
      <c r="S7" s="41">
        <v>270</v>
      </c>
      <c r="T7" s="41">
        <v>279</v>
      </c>
      <c r="U7" s="41">
        <v>289</v>
      </c>
      <c r="V7" s="41">
        <v>341</v>
      </c>
      <c r="W7" s="41">
        <v>354</v>
      </c>
      <c r="X7" s="41">
        <v>392</v>
      </c>
      <c r="Y7" s="41">
        <v>374</v>
      </c>
      <c r="Z7" s="41">
        <v>406</v>
      </c>
      <c r="AA7" s="41">
        <v>476</v>
      </c>
      <c r="AB7" s="41">
        <v>438</v>
      </c>
      <c r="AC7" s="41">
        <v>533</v>
      </c>
      <c r="AD7" s="41">
        <v>562</v>
      </c>
      <c r="AE7" s="41">
        <v>569</v>
      </c>
      <c r="AF7" s="41">
        <v>511</v>
      </c>
      <c r="AG7" s="41">
        <v>534</v>
      </c>
      <c r="AH7" s="41">
        <v>510</v>
      </c>
      <c r="AI7" s="41">
        <v>527</v>
      </c>
      <c r="AJ7" s="41">
        <v>586</v>
      </c>
      <c r="AK7" s="41">
        <v>521</v>
      </c>
      <c r="AL7" s="41">
        <v>571</v>
      </c>
      <c r="AM7" s="41">
        <v>599</v>
      </c>
      <c r="AN7" s="41">
        <v>728</v>
      </c>
      <c r="AO7" s="41">
        <v>766</v>
      </c>
      <c r="AP7" s="41">
        <v>787</v>
      </c>
      <c r="AQ7" s="41">
        <v>583</v>
      </c>
      <c r="AR7" s="1">
        <v>615</v>
      </c>
      <c r="AS7" s="1">
        <v>689</v>
      </c>
      <c r="AT7" s="1">
        <v>706</v>
      </c>
      <c r="AU7" s="1">
        <v>720</v>
      </c>
      <c r="AV7" s="1">
        <v>768</v>
      </c>
      <c r="AW7" s="1">
        <v>778</v>
      </c>
      <c r="AX7" s="1">
        <v>799</v>
      </c>
      <c r="AY7" s="1">
        <v>763</v>
      </c>
      <c r="AZ7" s="1">
        <v>763</v>
      </c>
    </row>
    <row r="8" spans="1:65">
      <c r="A8" s="37" t="s">
        <v>16</v>
      </c>
      <c r="B8" s="41">
        <v>29</v>
      </c>
      <c r="C8" s="41">
        <v>124</v>
      </c>
      <c r="D8" s="41">
        <v>116</v>
      </c>
      <c r="E8" s="41">
        <v>147</v>
      </c>
      <c r="F8" s="41">
        <v>118</v>
      </c>
      <c r="G8" s="41">
        <v>116</v>
      </c>
      <c r="H8" s="41">
        <v>105</v>
      </c>
      <c r="I8" s="41">
        <v>120</v>
      </c>
      <c r="J8" s="41">
        <v>106</v>
      </c>
      <c r="K8" s="41">
        <v>108</v>
      </c>
      <c r="L8" s="41">
        <v>93</v>
      </c>
      <c r="M8" s="41">
        <v>108</v>
      </c>
      <c r="N8" s="41">
        <v>105</v>
      </c>
      <c r="O8" s="41">
        <v>126</v>
      </c>
      <c r="P8" s="41">
        <v>258</v>
      </c>
      <c r="Q8" s="41">
        <v>128</v>
      </c>
      <c r="R8" s="41">
        <v>128</v>
      </c>
      <c r="S8" s="41">
        <v>134</v>
      </c>
      <c r="T8" s="41">
        <v>112</v>
      </c>
      <c r="U8" s="41">
        <v>101</v>
      </c>
      <c r="V8" s="41">
        <v>96</v>
      </c>
      <c r="W8" s="41">
        <v>135</v>
      </c>
      <c r="X8" s="41">
        <v>123</v>
      </c>
      <c r="Y8" s="41">
        <v>112</v>
      </c>
      <c r="Z8" s="41">
        <v>120</v>
      </c>
      <c r="AA8" s="41">
        <v>146</v>
      </c>
      <c r="AB8" s="41">
        <v>155</v>
      </c>
      <c r="AC8" s="41">
        <v>148</v>
      </c>
      <c r="AD8" s="41">
        <v>149</v>
      </c>
      <c r="AE8" s="41">
        <v>162</v>
      </c>
      <c r="AF8" s="41">
        <v>125</v>
      </c>
      <c r="AG8" s="41">
        <v>134</v>
      </c>
      <c r="AH8" s="41">
        <v>144</v>
      </c>
      <c r="AI8" s="41">
        <v>165</v>
      </c>
      <c r="AJ8" s="41">
        <v>180</v>
      </c>
      <c r="AK8" s="41">
        <v>219</v>
      </c>
      <c r="AL8" s="41">
        <v>249</v>
      </c>
      <c r="AM8" s="41">
        <v>225</v>
      </c>
      <c r="AN8" s="41">
        <v>218</v>
      </c>
      <c r="AO8" s="41">
        <v>236</v>
      </c>
      <c r="AP8" s="41">
        <v>288</v>
      </c>
      <c r="AQ8" s="41">
        <v>280</v>
      </c>
      <c r="AR8" s="1">
        <v>292</v>
      </c>
      <c r="AS8" s="1">
        <v>258</v>
      </c>
      <c r="AT8" s="1">
        <v>291</v>
      </c>
      <c r="AU8" s="1">
        <v>273</v>
      </c>
      <c r="AV8" s="1">
        <v>294</v>
      </c>
      <c r="AW8" s="1">
        <v>308</v>
      </c>
      <c r="AX8" s="1">
        <v>291</v>
      </c>
      <c r="AY8" s="1">
        <v>335</v>
      </c>
      <c r="AZ8" s="1">
        <v>321</v>
      </c>
    </row>
    <row r="9" spans="1:65">
      <c r="A9" s="37" t="s">
        <v>49</v>
      </c>
      <c r="B9" s="41"/>
      <c r="C9" s="41">
        <v>60</v>
      </c>
      <c r="D9" s="41">
        <v>75</v>
      </c>
      <c r="E9" s="41">
        <v>85</v>
      </c>
      <c r="F9" s="41">
        <v>76</v>
      </c>
      <c r="G9" s="41">
        <v>68</v>
      </c>
      <c r="H9" s="41">
        <v>76</v>
      </c>
      <c r="I9" s="41">
        <v>68</v>
      </c>
      <c r="J9" s="41">
        <v>49</v>
      </c>
      <c r="K9" s="41">
        <v>75</v>
      </c>
      <c r="L9" s="41">
        <v>57</v>
      </c>
      <c r="M9" s="41">
        <v>70</v>
      </c>
      <c r="N9" s="41">
        <v>58</v>
      </c>
      <c r="O9" s="41">
        <v>105</v>
      </c>
      <c r="P9" s="41">
        <v>58</v>
      </c>
      <c r="Q9" s="41">
        <v>3</v>
      </c>
      <c r="R9" s="41">
        <v>93</v>
      </c>
      <c r="S9" s="41">
        <v>100</v>
      </c>
      <c r="T9" s="41">
        <v>96</v>
      </c>
      <c r="U9" s="41">
        <v>107</v>
      </c>
      <c r="V9" s="41">
        <v>114</v>
      </c>
      <c r="W9" s="41">
        <v>114</v>
      </c>
      <c r="X9" s="41">
        <v>133</v>
      </c>
      <c r="Y9" s="41">
        <v>167</v>
      </c>
      <c r="Z9" s="41">
        <v>144</v>
      </c>
      <c r="AA9" s="41">
        <v>121</v>
      </c>
      <c r="AB9" s="41">
        <v>169</v>
      </c>
      <c r="AC9" s="41">
        <v>182</v>
      </c>
      <c r="AD9" s="41">
        <v>189</v>
      </c>
      <c r="AE9" s="41">
        <v>172</v>
      </c>
      <c r="AF9" s="41">
        <v>166</v>
      </c>
      <c r="AG9" s="41">
        <v>181</v>
      </c>
      <c r="AH9" s="41">
        <v>191</v>
      </c>
      <c r="AI9" s="41">
        <v>158</v>
      </c>
      <c r="AJ9" s="41">
        <v>168</v>
      </c>
      <c r="AK9" s="41">
        <v>201</v>
      </c>
      <c r="AL9" s="41">
        <v>234</v>
      </c>
      <c r="AM9" s="41">
        <v>271</v>
      </c>
      <c r="AN9" s="41">
        <v>283</v>
      </c>
      <c r="AO9" s="41">
        <v>215</v>
      </c>
      <c r="AP9" s="41">
        <v>268</v>
      </c>
      <c r="AQ9" s="41">
        <v>221</v>
      </c>
      <c r="AR9" s="1">
        <v>258</v>
      </c>
      <c r="AS9" s="1">
        <v>280</v>
      </c>
      <c r="AT9" s="1">
        <v>256</v>
      </c>
      <c r="AU9" s="1">
        <v>280</v>
      </c>
      <c r="AV9" s="1">
        <v>334</v>
      </c>
      <c r="AW9" s="1">
        <v>386</v>
      </c>
      <c r="AX9" s="1">
        <v>362</v>
      </c>
      <c r="AY9" s="1">
        <v>442</v>
      </c>
      <c r="AZ9" s="1">
        <v>404</v>
      </c>
    </row>
    <row r="10" spans="1:65">
      <c r="A10" s="37" t="s">
        <v>17</v>
      </c>
      <c r="B10" s="41">
        <v>169</v>
      </c>
      <c r="C10" s="41">
        <v>668</v>
      </c>
      <c r="D10" s="41">
        <v>702</v>
      </c>
      <c r="E10" s="41">
        <v>761</v>
      </c>
      <c r="F10" s="41">
        <v>734</v>
      </c>
      <c r="G10" s="41">
        <v>762</v>
      </c>
      <c r="H10" s="41">
        <v>1141</v>
      </c>
      <c r="I10" s="41">
        <v>1411</v>
      </c>
      <c r="J10" s="41">
        <v>1418</v>
      </c>
      <c r="K10" s="41">
        <v>1321</v>
      </c>
      <c r="L10" s="41">
        <v>1517</v>
      </c>
      <c r="M10" s="41">
        <v>1536</v>
      </c>
      <c r="N10" s="41">
        <v>1226</v>
      </c>
      <c r="O10" s="41">
        <v>1060</v>
      </c>
      <c r="P10" s="41">
        <v>1038</v>
      </c>
      <c r="Q10" s="41">
        <v>1044</v>
      </c>
      <c r="R10" s="41">
        <v>982</v>
      </c>
      <c r="S10" s="41">
        <v>1030</v>
      </c>
      <c r="T10" s="41">
        <v>1109</v>
      </c>
      <c r="U10" s="41">
        <v>1200</v>
      </c>
      <c r="V10" s="41">
        <v>1201</v>
      </c>
      <c r="W10" s="41">
        <v>1251</v>
      </c>
      <c r="X10" s="41">
        <v>1249</v>
      </c>
      <c r="Y10" s="41">
        <v>1430</v>
      </c>
      <c r="Z10" s="41">
        <v>1661</v>
      </c>
      <c r="AA10" s="41">
        <v>1644</v>
      </c>
      <c r="AB10" s="41">
        <v>1653</v>
      </c>
      <c r="AC10" s="41">
        <v>1753</v>
      </c>
      <c r="AD10" s="41">
        <v>1816</v>
      </c>
      <c r="AE10" s="41">
        <v>1881</v>
      </c>
      <c r="AF10" s="41">
        <v>1974</v>
      </c>
      <c r="AG10" s="41">
        <v>2174</v>
      </c>
      <c r="AH10" s="41">
        <v>2120</v>
      </c>
      <c r="AI10" s="41">
        <v>2283</v>
      </c>
      <c r="AJ10" s="41">
        <v>2609</v>
      </c>
      <c r="AK10" s="41">
        <v>2908</v>
      </c>
      <c r="AL10" s="41">
        <v>3064</v>
      </c>
      <c r="AM10" s="41">
        <v>2930</v>
      </c>
      <c r="AN10" s="41">
        <v>3338</v>
      </c>
      <c r="AO10" s="41">
        <v>3457</v>
      </c>
      <c r="AP10" s="41">
        <v>3513</v>
      </c>
      <c r="AQ10" s="41">
        <v>2932</v>
      </c>
      <c r="AR10" s="4">
        <v>2957</v>
      </c>
      <c r="AS10" s="4">
        <v>2924</v>
      </c>
      <c r="AT10" s="4">
        <v>3012</v>
      </c>
      <c r="AU10" s="4">
        <v>3253</v>
      </c>
      <c r="AV10" s="4">
        <v>3246</v>
      </c>
      <c r="AW10" s="4">
        <v>3211</v>
      </c>
      <c r="AX10" s="4">
        <v>3444</v>
      </c>
      <c r="AY10" s="4">
        <v>3503</v>
      </c>
      <c r="AZ10" s="4">
        <v>3457</v>
      </c>
    </row>
    <row r="11" spans="1:65">
      <c r="A11" s="37" t="s">
        <v>18</v>
      </c>
      <c r="B11" s="41">
        <v>48</v>
      </c>
      <c r="C11" s="41">
        <v>345</v>
      </c>
      <c r="D11" s="41">
        <v>456</v>
      </c>
      <c r="E11" s="41">
        <v>489</v>
      </c>
      <c r="F11" s="41">
        <v>544</v>
      </c>
      <c r="G11" s="41">
        <v>545</v>
      </c>
      <c r="H11" s="41">
        <v>548</v>
      </c>
      <c r="I11" s="41">
        <v>568</v>
      </c>
      <c r="J11" s="41">
        <v>570</v>
      </c>
      <c r="K11" s="41">
        <v>563</v>
      </c>
      <c r="L11" s="41">
        <v>530</v>
      </c>
      <c r="M11" s="41">
        <v>549</v>
      </c>
      <c r="N11" s="41">
        <v>553</v>
      </c>
      <c r="O11" s="41">
        <v>575</v>
      </c>
      <c r="P11" s="41">
        <v>601</v>
      </c>
      <c r="Q11" s="41">
        <v>595</v>
      </c>
      <c r="R11" s="41">
        <v>713</v>
      </c>
      <c r="S11" s="41">
        <v>666</v>
      </c>
      <c r="T11" s="41">
        <v>654</v>
      </c>
      <c r="U11" s="41">
        <v>737</v>
      </c>
      <c r="V11" s="41">
        <v>800</v>
      </c>
      <c r="W11" s="41">
        <v>800</v>
      </c>
      <c r="X11" s="41">
        <v>827</v>
      </c>
      <c r="Y11" s="41">
        <v>880</v>
      </c>
      <c r="Z11" s="41">
        <v>899</v>
      </c>
      <c r="AA11" s="41">
        <v>813</v>
      </c>
      <c r="AB11" s="41">
        <v>934</v>
      </c>
      <c r="AC11" s="41">
        <v>997</v>
      </c>
      <c r="AD11" s="41">
        <v>947</v>
      </c>
      <c r="AE11" s="41">
        <v>1084</v>
      </c>
      <c r="AF11" s="41">
        <v>1056</v>
      </c>
      <c r="AG11" s="41">
        <v>1032</v>
      </c>
      <c r="AH11" s="41">
        <v>1101</v>
      </c>
      <c r="AI11" s="41">
        <v>1162</v>
      </c>
      <c r="AJ11" s="41">
        <v>1122</v>
      </c>
      <c r="AK11" s="41">
        <v>1134</v>
      </c>
      <c r="AL11" s="41">
        <v>1225</v>
      </c>
      <c r="AM11" s="41">
        <v>1436</v>
      </c>
      <c r="AN11" s="41">
        <v>1625</v>
      </c>
      <c r="AO11" s="41">
        <v>1681</v>
      </c>
      <c r="AP11" s="41">
        <v>1700</v>
      </c>
      <c r="AQ11" s="41">
        <v>1661</v>
      </c>
      <c r="AR11" s="96">
        <v>1693</v>
      </c>
      <c r="AS11" s="96">
        <v>1710</v>
      </c>
      <c r="AT11" s="96">
        <v>1705</v>
      </c>
      <c r="AU11" s="96">
        <v>1888</v>
      </c>
      <c r="AV11" s="96">
        <v>1904</v>
      </c>
      <c r="AW11" s="96">
        <v>1917</v>
      </c>
      <c r="AX11" s="96">
        <v>2003</v>
      </c>
      <c r="AY11" s="96">
        <v>1966</v>
      </c>
      <c r="AZ11" s="96">
        <v>1871</v>
      </c>
    </row>
    <row r="12" spans="1:65">
      <c r="A12" s="37" t="s">
        <v>19</v>
      </c>
      <c r="B12" s="41">
        <v>60</v>
      </c>
      <c r="C12" s="41">
        <v>173</v>
      </c>
      <c r="D12" s="41">
        <v>190</v>
      </c>
      <c r="E12" s="41">
        <v>198</v>
      </c>
      <c r="F12" s="41">
        <v>205</v>
      </c>
      <c r="G12" s="41">
        <v>259</v>
      </c>
      <c r="H12" s="41">
        <v>251</v>
      </c>
      <c r="I12" s="41">
        <v>259</v>
      </c>
      <c r="J12" s="41">
        <v>251</v>
      </c>
      <c r="K12" s="41">
        <v>242</v>
      </c>
      <c r="L12" s="41">
        <v>261</v>
      </c>
      <c r="M12" s="41">
        <v>271</v>
      </c>
      <c r="N12" s="41">
        <v>264</v>
      </c>
      <c r="O12" s="41">
        <v>240</v>
      </c>
      <c r="P12" s="41">
        <v>271</v>
      </c>
      <c r="Q12" s="41">
        <v>279</v>
      </c>
      <c r="R12" s="41">
        <v>255</v>
      </c>
      <c r="S12" s="41">
        <v>248</v>
      </c>
      <c r="T12" s="41">
        <v>281</v>
      </c>
      <c r="U12" s="41">
        <v>313</v>
      </c>
      <c r="V12" s="41">
        <v>332</v>
      </c>
      <c r="W12" s="41">
        <v>320</v>
      </c>
      <c r="X12" s="41">
        <v>324</v>
      </c>
      <c r="Y12" s="41">
        <v>311</v>
      </c>
      <c r="Z12" s="41">
        <v>328</v>
      </c>
      <c r="AA12" s="41">
        <v>401</v>
      </c>
      <c r="AB12" s="41">
        <v>397</v>
      </c>
      <c r="AC12" s="41">
        <v>401</v>
      </c>
      <c r="AD12" s="41">
        <v>411</v>
      </c>
      <c r="AE12" s="41">
        <v>410</v>
      </c>
      <c r="AF12" s="41">
        <v>388</v>
      </c>
      <c r="AG12" s="41">
        <v>427</v>
      </c>
      <c r="AH12" s="41">
        <v>361</v>
      </c>
      <c r="AI12" s="41">
        <v>382</v>
      </c>
      <c r="AJ12" s="41">
        <v>404</v>
      </c>
      <c r="AK12" s="41">
        <v>424</v>
      </c>
      <c r="AL12" s="41">
        <v>511</v>
      </c>
      <c r="AM12" s="41">
        <v>515</v>
      </c>
      <c r="AN12" s="41">
        <v>578</v>
      </c>
      <c r="AO12" s="41">
        <v>590</v>
      </c>
      <c r="AP12" s="41">
        <v>564</v>
      </c>
      <c r="AQ12" s="41">
        <v>495</v>
      </c>
      <c r="AR12" s="1">
        <v>504</v>
      </c>
      <c r="AS12" s="1">
        <v>591</v>
      </c>
      <c r="AT12" s="1">
        <v>556</v>
      </c>
      <c r="AU12" s="1">
        <v>587</v>
      </c>
      <c r="AV12" s="1">
        <v>668</v>
      </c>
      <c r="AW12" s="1">
        <v>583</v>
      </c>
      <c r="AX12" s="1">
        <v>648</v>
      </c>
      <c r="AY12" s="1">
        <v>706</v>
      </c>
      <c r="AZ12" s="1">
        <v>757</v>
      </c>
    </row>
    <row r="13" spans="1:65">
      <c r="A13" s="37" t="s">
        <v>20</v>
      </c>
      <c r="B13" s="41">
        <v>114</v>
      </c>
      <c r="C13" s="41">
        <v>348</v>
      </c>
      <c r="D13" s="41">
        <v>391</v>
      </c>
      <c r="E13" s="41">
        <v>449</v>
      </c>
      <c r="F13" s="41">
        <v>365</v>
      </c>
      <c r="G13" s="41">
        <v>406</v>
      </c>
      <c r="H13" s="41">
        <v>386</v>
      </c>
      <c r="I13" s="41">
        <v>332</v>
      </c>
      <c r="J13" s="41">
        <v>303</v>
      </c>
      <c r="K13" s="41">
        <v>319</v>
      </c>
      <c r="L13" s="41">
        <v>322</v>
      </c>
      <c r="M13" s="41">
        <v>314</v>
      </c>
      <c r="N13" s="41">
        <v>269</v>
      </c>
      <c r="O13" s="41">
        <v>262</v>
      </c>
      <c r="P13" s="41">
        <v>280</v>
      </c>
      <c r="Q13" s="41">
        <v>244</v>
      </c>
      <c r="R13" s="41">
        <v>256</v>
      </c>
      <c r="S13" s="41">
        <v>290</v>
      </c>
      <c r="T13" s="41">
        <v>301</v>
      </c>
      <c r="U13" s="41">
        <v>346</v>
      </c>
      <c r="V13" s="41">
        <v>384</v>
      </c>
      <c r="W13" s="41">
        <v>405</v>
      </c>
      <c r="X13" s="41">
        <v>417</v>
      </c>
      <c r="Y13" s="41">
        <v>423</v>
      </c>
      <c r="Z13" s="41">
        <v>428</v>
      </c>
      <c r="AA13" s="41">
        <v>447</v>
      </c>
      <c r="AB13" s="41">
        <v>499</v>
      </c>
      <c r="AC13" s="41">
        <v>519</v>
      </c>
      <c r="AD13" s="41">
        <v>544</v>
      </c>
      <c r="AE13" s="41">
        <v>567</v>
      </c>
      <c r="AF13" s="41">
        <v>562</v>
      </c>
      <c r="AG13" s="41">
        <v>612</v>
      </c>
      <c r="AH13" s="41">
        <v>553</v>
      </c>
      <c r="AI13" s="41">
        <v>537</v>
      </c>
      <c r="AJ13" s="41">
        <v>491</v>
      </c>
      <c r="AK13" s="41">
        <v>571</v>
      </c>
      <c r="AL13" s="41">
        <v>562</v>
      </c>
      <c r="AM13" s="41">
        <v>521</v>
      </c>
      <c r="AN13" s="41">
        <v>601</v>
      </c>
      <c r="AO13" s="41">
        <v>569</v>
      </c>
      <c r="AP13" s="41">
        <v>621</v>
      </c>
      <c r="AQ13" s="41">
        <v>611</v>
      </c>
      <c r="AR13" s="1">
        <v>546</v>
      </c>
      <c r="AS13" s="1">
        <v>703</v>
      </c>
      <c r="AT13" s="1">
        <v>689</v>
      </c>
      <c r="AU13" s="1">
        <v>679</v>
      </c>
      <c r="AV13" s="1">
        <v>685</v>
      </c>
      <c r="AW13" s="1">
        <v>716</v>
      </c>
      <c r="AX13" s="1">
        <v>719</v>
      </c>
      <c r="AY13" s="1">
        <v>674</v>
      </c>
      <c r="AZ13" s="1">
        <v>720</v>
      </c>
    </row>
    <row r="14" spans="1:65">
      <c r="A14" s="37" t="s">
        <v>21</v>
      </c>
      <c r="B14" s="41">
        <v>184</v>
      </c>
      <c r="C14" s="41">
        <v>576</v>
      </c>
      <c r="D14" s="41">
        <v>552</v>
      </c>
      <c r="E14" s="41">
        <v>617</v>
      </c>
      <c r="F14" s="41">
        <v>623</v>
      </c>
      <c r="G14" s="41">
        <v>584</v>
      </c>
      <c r="H14" s="41">
        <v>649</v>
      </c>
      <c r="I14" s="41">
        <v>612</v>
      </c>
      <c r="J14" s="41">
        <v>602</v>
      </c>
      <c r="K14" s="41">
        <v>578</v>
      </c>
      <c r="L14" s="41">
        <v>587</v>
      </c>
      <c r="M14" s="41">
        <v>529</v>
      </c>
      <c r="N14" s="41">
        <v>594</v>
      </c>
      <c r="O14" s="41">
        <v>594</v>
      </c>
      <c r="P14" s="41">
        <v>598</v>
      </c>
      <c r="Q14" s="41">
        <v>657</v>
      </c>
      <c r="R14" s="41">
        <v>696</v>
      </c>
      <c r="S14" s="41">
        <v>663</v>
      </c>
      <c r="T14" s="41">
        <v>690</v>
      </c>
      <c r="U14" s="41">
        <v>705</v>
      </c>
      <c r="V14" s="41">
        <v>703</v>
      </c>
      <c r="W14" s="41">
        <v>816</v>
      </c>
      <c r="X14" s="41">
        <v>838</v>
      </c>
      <c r="Y14" s="41">
        <v>928</v>
      </c>
      <c r="Z14" s="41">
        <v>949</v>
      </c>
      <c r="AA14" s="41">
        <v>934</v>
      </c>
      <c r="AB14" s="41">
        <v>877</v>
      </c>
      <c r="AC14" s="41">
        <v>922</v>
      </c>
      <c r="AD14" s="41">
        <v>988</v>
      </c>
      <c r="AE14" s="41">
        <v>995</v>
      </c>
      <c r="AF14" s="41">
        <v>1000</v>
      </c>
      <c r="AG14" s="41">
        <v>977</v>
      </c>
      <c r="AH14" s="41">
        <v>964</v>
      </c>
      <c r="AI14" s="41">
        <v>972</v>
      </c>
      <c r="AJ14" s="41">
        <v>969</v>
      </c>
      <c r="AK14" s="41">
        <v>1063</v>
      </c>
      <c r="AL14" s="41">
        <v>1228</v>
      </c>
      <c r="AM14" s="41">
        <v>1364</v>
      </c>
      <c r="AN14" s="41">
        <v>1370</v>
      </c>
      <c r="AO14" s="41">
        <v>1461</v>
      </c>
      <c r="AP14" s="41">
        <v>1270</v>
      </c>
      <c r="AQ14" s="41">
        <v>1291</v>
      </c>
      <c r="AR14" s="1">
        <v>1288</v>
      </c>
      <c r="AS14" s="1">
        <v>1373</v>
      </c>
      <c r="AT14" s="1">
        <v>1503</v>
      </c>
      <c r="AU14" s="1">
        <v>1381</v>
      </c>
      <c r="AV14" s="1">
        <v>1509</v>
      </c>
      <c r="AW14" s="1">
        <v>1408</v>
      </c>
      <c r="AX14" s="1">
        <v>1447</v>
      </c>
      <c r="AY14" s="1">
        <v>1589</v>
      </c>
      <c r="AZ14" s="1">
        <v>1481</v>
      </c>
    </row>
    <row r="15" spans="1:65">
      <c r="A15" s="37" t="s">
        <v>22</v>
      </c>
      <c r="B15" s="41">
        <v>5</v>
      </c>
      <c r="C15" s="41">
        <v>178</v>
      </c>
      <c r="D15" s="41">
        <v>225</v>
      </c>
      <c r="E15" s="41">
        <v>253</v>
      </c>
      <c r="F15" s="41">
        <v>278</v>
      </c>
      <c r="G15" s="41">
        <v>241</v>
      </c>
      <c r="H15" s="41">
        <v>255</v>
      </c>
      <c r="I15" s="41">
        <v>280</v>
      </c>
      <c r="J15" s="41">
        <v>276</v>
      </c>
      <c r="K15" s="41">
        <v>269</v>
      </c>
      <c r="L15" s="41">
        <v>216</v>
      </c>
      <c r="M15" s="41">
        <v>226</v>
      </c>
      <c r="N15" s="41">
        <v>241</v>
      </c>
      <c r="O15" s="41">
        <v>280</v>
      </c>
      <c r="P15" s="41">
        <v>274</v>
      </c>
      <c r="Q15" s="41">
        <v>339</v>
      </c>
      <c r="R15" s="41">
        <v>245</v>
      </c>
      <c r="S15" s="41">
        <v>268</v>
      </c>
      <c r="T15" s="41">
        <v>272</v>
      </c>
      <c r="U15" s="41">
        <v>241</v>
      </c>
      <c r="V15" s="41">
        <v>245</v>
      </c>
      <c r="W15" s="41">
        <v>293</v>
      </c>
      <c r="X15" s="41">
        <v>340</v>
      </c>
      <c r="Y15" s="41">
        <v>302</v>
      </c>
      <c r="Z15" s="41">
        <v>303</v>
      </c>
      <c r="AA15" s="41">
        <v>352</v>
      </c>
      <c r="AB15" s="41">
        <v>399</v>
      </c>
      <c r="AC15" s="41">
        <v>352</v>
      </c>
      <c r="AD15" s="41">
        <v>326</v>
      </c>
      <c r="AE15" s="41">
        <v>351</v>
      </c>
      <c r="AF15" s="41">
        <v>351</v>
      </c>
      <c r="AG15" s="41">
        <v>347</v>
      </c>
      <c r="AH15" s="41">
        <v>332</v>
      </c>
      <c r="AI15" s="41">
        <v>334</v>
      </c>
      <c r="AJ15" s="41">
        <v>340</v>
      </c>
      <c r="AK15" s="41">
        <v>357</v>
      </c>
      <c r="AL15" s="41">
        <v>373</v>
      </c>
      <c r="AM15" s="41">
        <v>374</v>
      </c>
      <c r="AN15" s="41">
        <v>437</v>
      </c>
      <c r="AO15" s="41">
        <v>473</v>
      </c>
      <c r="AP15" s="41">
        <v>433</v>
      </c>
      <c r="AQ15" s="41">
        <v>474</v>
      </c>
      <c r="AR15" s="1">
        <v>460</v>
      </c>
      <c r="AS15" s="1">
        <v>503</v>
      </c>
      <c r="AT15" s="1">
        <v>492</v>
      </c>
      <c r="AU15" s="1">
        <v>461</v>
      </c>
      <c r="AV15" s="1">
        <v>574</v>
      </c>
      <c r="AW15" s="1">
        <v>590</v>
      </c>
      <c r="AX15" s="1">
        <v>630</v>
      </c>
      <c r="AY15" s="1">
        <v>614</v>
      </c>
      <c r="AZ15" s="1">
        <v>754</v>
      </c>
    </row>
    <row r="16" spans="1:65">
      <c r="A16" s="37" t="s">
        <v>23</v>
      </c>
      <c r="B16" s="41">
        <v>223</v>
      </c>
      <c r="C16" s="41">
        <v>634</v>
      </c>
      <c r="D16" s="41">
        <v>723</v>
      </c>
      <c r="E16" s="41">
        <v>763</v>
      </c>
      <c r="F16" s="41">
        <v>787</v>
      </c>
      <c r="G16" s="41">
        <v>824</v>
      </c>
      <c r="H16" s="41">
        <v>825</v>
      </c>
      <c r="I16" s="41">
        <v>734</v>
      </c>
      <c r="J16" s="41">
        <v>716</v>
      </c>
      <c r="K16" s="41">
        <v>742</v>
      </c>
      <c r="L16" s="41">
        <v>739</v>
      </c>
      <c r="M16" s="41">
        <v>757</v>
      </c>
      <c r="N16" s="41">
        <v>714</v>
      </c>
      <c r="O16" s="41">
        <v>732</v>
      </c>
      <c r="P16" s="41">
        <v>725</v>
      </c>
      <c r="Q16" s="41">
        <v>769</v>
      </c>
      <c r="R16" s="41">
        <v>697</v>
      </c>
      <c r="S16" s="41">
        <v>753</v>
      </c>
      <c r="T16" s="41">
        <v>788</v>
      </c>
      <c r="U16" s="41">
        <v>796</v>
      </c>
      <c r="V16" s="41">
        <v>724</v>
      </c>
      <c r="W16" s="41">
        <v>861</v>
      </c>
      <c r="X16" s="41">
        <v>872</v>
      </c>
      <c r="Y16" s="41">
        <v>923</v>
      </c>
      <c r="Z16" s="41">
        <v>980</v>
      </c>
      <c r="AA16" s="41">
        <v>988</v>
      </c>
      <c r="AB16" s="41">
        <v>1022</v>
      </c>
      <c r="AC16" s="41">
        <v>1047</v>
      </c>
      <c r="AD16" s="41">
        <v>1094</v>
      </c>
      <c r="AE16" s="41">
        <v>1083</v>
      </c>
      <c r="AF16" s="41">
        <v>1123</v>
      </c>
      <c r="AG16" s="41">
        <v>1152</v>
      </c>
      <c r="AH16" s="41">
        <v>1130</v>
      </c>
      <c r="AI16" s="41">
        <v>1114</v>
      </c>
      <c r="AJ16" s="41">
        <v>1138</v>
      </c>
      <c r="AK16" s="41">
        <v>1248</v>
      </c>
      <c r="AL16" s="41">
        <v>1355</v>
      </c>
      <c r="AM16" s="41">
        <v>1422</v>
      </c>
      <c r="AN16" s="41">
        <v>1492</v>
      </c>
      <c r="AO16" s="41">
        <v>1565</v>
      </c>
      <c r="AP16" s="41">
        <v>1655</v>
      </c>
      <c r="AQ16" s="41">
        <v>1577</v>
      </c>
      <c r="AR16" s="1">
        <v>1634</v>
      </c>
      <c r="AS16" s="1">
        <v>1848</v>
      </c>
      <c r="AT16" s="1">
        <v>2028</v>
      </c>
      <c r="AU16" s="1">
        <v>2146</v>
      </c>
      <c r="AV16" s="1">
        <v>2100</v>
      </c>
      <c r="AW16" s="1">
        <v>2260</v>
      </c>
      <c r="AX16" s="1">
        <v>2531</v>
      </c>
      <c r="AY16" s="1">
        <v>2412</v>
      </c>
      <c r="AZ16" s="1">
        <v>2474</v>
      </c>
    </row>
    <row r="17" spans="1:158">
      <c r="A17" s="37" t="s">
        <v>24</v>
      </c>
      <c r="B17" s="41">
        <v>448</v>
      </c>
      <c r="C17" s="41">
        <v>484</v>
      </c>
      <c r="D17" s="41">
        <v>467</v>
      </c>
      <c r="E17" s="41">
        <v>509</v>
      </c>
      <c r="F17" s="41">
        <v>505</v>
      </c>
      <c r="G17" s="41">
        <v>474</v>
      </c>
      <c r="H17" s="41">
        <v>498</v>
      </c>
      <c r="I17" s="41">
        <v>416</v>
      </c>
      <c r="J17" s="41">
        <v>406</v>
      </c>
      <c r="K17" s="41">
        <v>390</v>
      </c>
      <c r="L17" s="41">
        <v>421</v>
      </c>
      <c r="M17" s="41">
        <v>377</v>
      </c>
      <c r="N17" s="41">
        <v>379</v>
      </c>
      <c r="O17" s="41">
        <v>362</v>
      </c>
      <c r="P17" s="41">
        <v>405</v>
      </c>
      <c r="Q17" s="41">
        <v>415</v>
      </c>
      <c r="R17" s="41">
        <v>404</v>
      </c>
      <c r="S17" s="41">
        <v>412</v>
      </c>
      <c r="T17" s="41">
        <v>342</v>
      </c>
      <c r="U17" s="41">
        <v>349</v>
      </c>
      <c r="V17" s="41">
        <v>358</v>
      </c>
      <c r="W17" s="41">
        <v>408</v>
      </c>
      <c r="X17" s="41">
        <v>380</v>
      </c>
      <c r="Y17" s="41">
        <v>398</v>
      </c>
      <c r="Z17" s="41">
        <v>416</v>
      </c>
      <c r="AA17" s="41">
        <v>387</v>
      </c>
      <c r="AB17" s="41">
        <v>414</v>
      </c>
      <c r="AC17" s="41">
        <v>358</v>
      </c>
      <c r="AD17" s="41">
        <v>448</v>
      </c>
      <c r="AE17" s="41">
        <v>410</v>
      </c>
      <c r="AF17" s="41">
        <v>403</v>
      </c>
      <c r="AG17" s="41">
        <v>437</v>
      </c>
      <c r="AH17" s="41">
        <v>504</v>
      </c>
      <c r="AI17" s="41">
        <v>439</v>
      </c>
      <c r="AJ17" s="41">
        <v>416</v>
      </c>
      <c r="AK17" s="41">
        <v>402</v>
      </c>
      <c r="AL17" s="41">
        <v>413</v>
      </c>
      <c r="AM17" s="41">
        <v>428</v>
      </c>
      <c r="AN17" s="41">
        <v>462</v>
      </c>
      <c r="AO17" s="41">
        <v>409</v>
      </c>
      <c r="AP17" s="41">
        <v>454</v>
      </c>
      <c r="AQ17" s="41">
        <v>482</v>
      </c>
      <c r="AR17" s="1">
        <v>432</v>
      </c>
      <c r="AS17" s="1">
        <v>489</v>
      </c>
      <c r="AT17" s="1">
        <v>519</v>
      </c>
      <c r="AU17" s="1">
        <v>553</v>
      </c>
      <c r="AV17" s="1">
        <v>543</v>
      </c>
      <c r="AW17" s="1">
        <v>579</v>
      </c>
      <c r="AX17" s="1">
        <v>567</v>
      </c>
      <c r="AY17" s="1">
        <v>620</v>
      </c>
      <c r="AZ17" s="1">
        <v>559</v>
      </c>
    </row>
    <row r="18" spans="1:158">
      <c r="A18" s="37" t="s">
        <v>25</v>
      </c>
      <c r="B18" s="41">
        <v>14</v>
      </c>
      <c r="C18" s="41">
        <v>115</v>
      </c>
      <c r="D18" s="41">
        <v>125</v>
      </c>
      <c r="E18" s="41">
        <v>130</v>
      </c>
      <c r="F18" s="41">
        <v>126</v>
      </c>
      <c r="G18" s="41">
        <v>134</v>
      </c>
      <c r="H18" s="41">
        <v>162</v>
      </c>
      <c r="I18" s="41">
        <v>207</v>
      </c>
      <c r="J18" s="41">
        <v>174</v>
      </c>
      <c r="K18" s="41">
        <v>198</v>
      </c>
      <c r="L18" s="41">
        <v>227</v>
      </c>
      <c r="M18" s="41">
        <v>191</v>
      </c>
      <c r="N18" s="41">
        <v>196</v>
      </c>
      <c r="O18" s="41">
        <v>207</v>
      </c>
      <c r="P18" s="41">
        <v>207</v>
      </c>
      <c r="Q18" s="41">
        <v>208</v>
      </c>
      <c r="R18" s="41">
        <v>224</v>
      </c>
      <c r="S18" s="41">
        <v>258</v>
      </c>
      <c r="T18" s="41">
        <v>266</v>
      </c>
      <c r="U18" s="41">
        <v>302</v>
      </c>
      <c r="V18" s="41">
        <v>266</v>
      </c>
      <c r="W18" s="41">
        <v>342</v>
      </c>
      <c r="X18" s="41">
        <v>370</v>
      </c>
      <c r="Y18" s="41">
        <v>374</v>
      </c>
      <c r="Z18" s="41">
        <v>408</v>
      </c>
      <c r="AA18" s="41">
        <v>459</v>
      </c>
      <c r="AB18" s="41">
        <v>391</v>
      </c>
      <c r="AC18" s="41">
        <v>435</v>
      </c>
      <c r="AD18" s="41">
        <v>409</v>
      </c>
      <c r="AE18" s="41">
        <v>404</v>
      </c>
      <c r="AF18" s="41">
        <v>444</v>
      </c>
      <c r="AG18" s="41">
        <v>429</v>
      </c>
      <c r="AH18" s="41">
        <v>419</v>
      </c>
      <c r="AI18" s="41">
        <v>449</v>
      </c>
      <c r="AJ18" s="41">
        <v>428</v>
      </c>
      <c r="AK18" s="41">
        <v>432</v>
      </c>
      <c r="AL18" s="41">
        <v>466</v>
      </c>
      <c r="AM18" s="41">
        <v>441</v>
      </c>
      <c r="AN18" s="41">
        <v>483</v>
      </c>
      <c r="AO18" s="41">
        <v>603</v>
      </c>
      <c r="AP18" s="41">
        <v>593</v>
      </c>
      <c r="AQ18" s="41">
        <v>578</v>
      </c>
      <c r="AR18" s="1">
        <v>640</v>
      </c>
      <c r="AS18" s="1">
        <v>665</v>
      </c>
      <c r="AT18" s="1">
        <v>716</v>
      </c>
      <c r="AU18" s="1">
        <v>766</v>
      </c>
      <c r="AV18" s="1">
        <v>867</v>
      </c>
      <c r="AW18" s="1">
        <v>800</v>
      </c>
      <c r="AX18" s="1">
        <v>749</v>
      </c>
      <c r="AY18" s="1">
        <v>816</v>
      </c>
      <c r="AZ18" s="1">
        <v>870</v>
      </c>
    </row>
    <row r="19" spans="1:158">
      <c r="A19" s="37" t="s">
        <v>26</v>
      </c>
      <c r="B19" s="41">
        <v>117</v>
      </c>
      <c r="C19" s="41">
        <v>452</v>
      </c>
      <c r="D19" s="41">
        <v>484</v>
      </c>
      <c r="E19" s="41">
        <v>524</v>
      </c>
      <c r="F19" s="41">
        <v>561</v>
      </c>
      <c r="G19" s="41">
        <v>570</v>
      </c>
      <c r="H19" s="41">
        <v>578</v>
      </c>
      <c r="I19" s="41">
        <v>585</v>
      </c>
      <c r="J19" s="41">
        <v>570</v>
      </c>
      <c r="K19" s="41">
        <v>513</v>
      </c>
      <c r="L19" s="41">
        <v>565</v>
      </c>
      <c r="M19" s="41">
        <v>545</v>
      </c>
      <c r="N19" s="41">
        <v>604</v>
      </c>
      <c r="O19" s="41">
        <v>585</v>
      </c>
      <c r="P19" s="41">
        <v>585</v>
      </c>
      <c r="Q19" s="41">
        <v>626</v>
      </c>
      <c r="R19" s="41">
        <v>598</v>
      </c>
      <c r="S19" s="41">
        <v>609</v>
      </c>
      <c r="T19" s="41">
        <v>576</v>
      </c>
      <c r="U19" s="41">
        <v>540</v>
      </c>
      <c r="V19" s="41">
        <v>582</v>
      </c>
      <c r="W19" s="41">
        <v>626</v>
      </c>
      <c r="X19" s="41">
        <v>642</v>
      </c>
      <c r="Y19" s="41">
        <v>741</v>
      </c>
      <c r="Z19" s="41">
        <v>721</v>
      </c>
      <c r="AA19" s="41">
        <v>672</v>
      </c>
      <c r="AB19" s="41">
        <v>665</v>
      </c>
      <c r="AC19" s="41">
        <v>702</v>
      </c>
      <c r="AD19" s="41">
        <v>747</v>
      </c>
      <c r="AE19" s="41">
        <v>687</v>
      </c>
      <c r="AF19" s="41">
        <v>678</v>
      </c>
      <c r="AG19" s="41">
        <v>724</v>
      </c>
      <c r="AH19" s="41">
        <v>767</v>
      </c>
      <c r="AI19" s="41">
        <v>781</v>
      </c>
      <c r="AJ19" s="41">
        <v>739</v>
      </c>
      <c r="AK19" s="41">
        <v>846</v>
      </c>
      <c r="AL19" s="41">
        <v>891</v>
      </c>
      <c r="AM19" s="41">
        <v>922</v>
      </c>
      <c r="AN19" s="41">
        <v>1040</v>
      </c>
      <c r="AO19" s="41">
        <v>912</v>
      </c>
      <c r="AP19" s="41">
        <v>1021</v>
      </c>
      <c r="AQ19" s="41">
        <v>1008</v>
      </c>
      <c r="AR19" s="1">
        <v>1237</v>
      </c>
      <c r="AS19" s="1">
        <v>1149</v>
      </c>
      <c r="AT19" s="1">
        <v>1239</v>
      </c>
      <c r="AU19" s="1">
        <v>1325</v>
      </c>
      <c r="AV19" s="1">
        <v>1392</v>
      </c>
      <c r="AW19" s="1">
        <v>1466</v>
      </c>
      <c r="AX19" s="1">
        <v>1664</v>
      </c>
      <c r="AY19" s="1">
        <v>1653</v>
      </c>
      <c r="AZ19" s="1">
        <v>1654</v>
      </c>
    </row>
    <row r="20" spans="1:158">
      <c r="A20" s="37" t="s">
        <v>27</v>
      </c>
      <c r="B20" s="41">
        <v>1240</v>
      </c>
      <c r="C20" s="41">
        <v>1241</v>
      </c>
      <c r="D20" s="41">
        <v>1358</v>
      </c>
      <c r="E20" s="41">
        <v>1457</v>
      </c>
      <c r="F20" s="41">
        <v>1476</v>
      </c>
      <c r="G20" s="41">
        <v>1486</v>
      </c>
      <c r="H20" s="41">
        <v>1541</v>
      </c>
      <c r="I20" s="41">
        <v>1502</v>
      </c>
      <c r="J20" s="41">
        <v>1595</v>
      </c>
      <c r="K20" s="41">
        <v>1502</v>
      </c>
      <c r="L20" s="41">
        <v>1612</v>
      </c>
      <c r="M20" s="41">
        <v>1660</v>
      </c>
      <c r="N20" s="41">
        <v>1753</v>
      </c>
      <c r="O20" s="41">
        <v>1662</v>
      </c>
      <c r="P20" s="41">
        <v>1676</v>
      </c>
      <c r="Q20" s="41">
        <v>1811</v>
      </c>
      <c r="R20" s="41">
        <v>1839</v>
      </c>
      <c r="S20" s="41">
        <v>1978</v>
      </c>
      <c r="T20" s="41">
        <v>2079</v>
      </c>
      <c r="U20" s="41">
        <v>2067</v>
      </c>
      <c r="V20" s="41">
        <v>2113</v>
      </c>
      <c r="W20" s="41">
        <v>2268</v>
      </c>
      <c r="X20" s="41">
        <v>2304</v>
      </c>
      <c r="Y20" s="41">
        <v>2481</v>
      </c>
      <c r="Z20" s="41">
        <v>2546</v>
      </c>
      <c r="AA20" s="41">
        <v>2732</v>
      </c>
      <c r="AB20" s="41">
        <v>2727</v>
      </c>
      <c r="AC20" s="41">
        <v>2864</v>
      </c>
      <c r="AD20" s="41">
        <v>2810</v>
      </c>
      <c r="AE20" s="41">
        <v>2815</v>
      </c>
      <c r="AF20" s="41">
        <v>2708</v>
      </c>
      <c r="AG20" s="41">
        <v>2693</v>
      </c>
      <c r="AH20" s="41">
        <v>2752</v>
      </c>
      <c r="AI20" s="41">
        <v>2560</v>
      </c>
      <c r="AJ20" s="41">
        <v>2616</v>
      </c>
      <c r="AK20" s="41">
        <v>2752</v>
      </c>
      <c r="AL20" s="41">
        <v>2974</v>
      </c>
      <c r="AM20" s="41">
        <v>3203</v>
      </c>
      <c r="AN20" s="41">
        <v>3619</v>
      </c>
      <c r="AO20" s="41">
        <v>3799</v>
      </c>
      <c r="AP20" s="41">
        <v>3819</v>
      </c>
      <c r="AQ20" s="41">
        <v>3619</v>
      </c>
      <c r="AR20" s="1">
        <v>3793</v>
      </c>
      <c r="AS20" s="1">
        <v>4180</v>
      </c>
      <c r="AT20" s="1">
        <v>4350</v>
      </c>
      <c r="AU20" s="1">
        <v>4692</v>
      </c>
      <c r="AV20" s="1">
        <v>4855</v>
      </c>
      <c r="AW20" s="1">
        <v>4830</v>
      </c>
      <c r="AX20" s="1">
        <v>4948</v>
      </c>
      <c r="AY20" s="1">
        <v>5034</v>
      </c>
      <c r="AZ20" s="1">
        <v>5296</v>
      </c>
    </row>
    <row r="21" spans="1:158">
      <c r="A21" s="37" t="s">
        <v>28</v>
      </c>
      <c r="B21" s="41">
        <v>71</v>
      </c>
      <c r="C21" s="41">
        <v>306</v>
      </c>
      <c r="D21" s="41">
        <v>372</v>
      </c>
      <c r="E21" s="41">
        <v>331</v>
      </c>
      <c r="F21" s="41">
        <v>407</v>
      </c>
      <c r="G21" s="41">
        <v>501</v>
      </c>
      <c r="H21" s="41">
        <v>479</v>
      </c>
      <c r="I21" s="41">
        <v>534</v>
      </c>
      <c r="J21" s="41">
        <v>516</v>
      </c>
      <c r="K21" s="41">
        <v>538</v>
      </c>
      <c r="L21" s="41">
        <v>555</v>
      </c>
      <c r="M21" s="41">
        <v>550</v>
      </c>
      <c r="N21" s="41">
        <v>589</v>
      </c>
      <c r="O21" s="41">
        <v>574</v>
      </c>
      <c r="P21" s="41">
        <v>627</v>
      </c>
      <c r="Q21" s="41">
        <v>656</v>
      </c>
      <c r="R21" s="41">
        <v>647</v>
      </c>
      <c r="S21" s="41">
        <v>689</v>
      </c>
      <c r="T21" s="41">
        <v>687</v>
      </c>
      <c r="U21" s="41">
        <v>746</v>
      </c>
      <c r="V21" s="41">
        <v>764</v>
      </c>
      <c r="W21" s="41">
        <v>839</v>
      </c>
      <c r="X21" s="41">
        <v>874</v>
      </c>
      <c r="Y21" s="41">
        <v>963</v>
      </c>
      <c r="Z21" s="41">
        <v>998</v>
      </c>
      <c r="AA21" s="41">
        <v>1006</v>
      </c>
      <c r="AB21" s="41">
        <v>1077</v>
      </c>
      <c r="AC21" s="41">
        <v>1061</v>
      </c>
      <c r="AD21" s="41">
        <v>1145</v>
      </c>
      <c r="AE21" s="41">
        <v>1083</v>
      </c>
      <c r="AF21" s="41">
        <v>1124</v>
      </c>
      <c r="AG21" s="41">
        <v>1122</v>
      </c>
      <c r="AH21" s="41">
        <v>1094</v>
      </c>
      <c r="AI21" s="41">
        <v>1167</v>
      </c>
      <c r="AJ21" s="41">
        <v>1169</v>
      </c>
      <c r="AK21" s="41">
        <v>1249</v>
      </c>
      <c r="AL21" s="41">
        <v>1504</v>
      </c>
      <c r="AM21" s="41">
        <v>1571</v>
      </c>
      <c r="AN21" s="41">
        <v>1643</v>
      </c>
      <c r="AO21" s="41">
        <v>1660</v>
      </c>
      <c r="AP21" s="41">
        <v>1669</v>
      </c>
      <c r="AQ21" s="41">
        <v>1985</v>
      </c>
      <c r="AR21" s="1">
        <v>2293</v>
      </c>
      <c r="AS21" s="1">
        <v>2036</v>
      </c>
      <c r="AT21" s="1">
        <v>2183</v>
      </c>
      <c r="AU21" s="1">
        <v>2333</v>
      </c>
      <c r="AV21" s="1">
        <v>2238</v>
      </c>
      <c r="AW21" s="1">
        <v>2231</v>
      </c>
      <c r="AX21" s="1">
        <v>2391</v>
      </c>
      <c r="AY21" s="1">
        <v>2372</v>
      </c>
      <c r="AZ21" s="1">
        <v>2387</v>
      </c>
    </row>
    <row r="22" spans="1:158" s="6" customFormat="1">
      <c r="A22" s="42" t="s">
        <v>29</v>
      </c>
      <c r="B22" s="43">
        <v>5</v>
      </c>
      <c r="C22" s="43">
        <v>143</v>
      </c>
      <c r="D22" s="43">
        <v>102</v>
      </c>
      <c r="E22" s="43">
        <v>134</v>
      </c>
      <c r="F22" s="43">
        <v>131</v>
      </c>
      <c r="G22" s="43">
        <v>109</v>
      </c>
      <c r="H22" s="43">
        <v>110</v>
      </c>
      <c r="I22" s="43">
        <v>121</v>
      </c>
      <c r="J22" s="43">
        <v>121</v>
      </c>
      <c r="K22" s="43">
        <v>117</v>
      </c>
      <c r="L22" s="43">
        <v>115</v>
      </c>
      <c r="M22" s="43">
        <v>145</v>
      </c>
      <c r="N22" s="43">
        <v>107</v>
      </c>
      <c r="O22" s="43">
        <v>130</v>
      </c>
      <c r="P22" s="43">
        <v>128</v>
      </c>
      <c r="Q22" s="43">
        <v>113</v>
      </c>
      <c r="R22" s="43">
        <v>115</v>
      </c>
      <c r="S22" s="43">
        <v>113</v>
      </c>
      <c r="T22" s="43">
        <v>110</v>
      </c>
      <c r="U22" s="43">
        <v>131</v>
      </c>
      <c r="V22" s="43">
        <v>112</v>
      </c>
      <c r="W22" s="43">
        <v>128</v>
      </c>
      <c r="X22" s="43">
        <v>110</v>
      </c>
      <c r="Y22" s="43">
        <v>116</v>
      </c>
      <c r="Z22" s="43">
        <v>99</v>
      </c>
      <c r="AA22" s="43">
        <v>127</v>
      </c>
      <c r="AB22" s="43">
        <v>159</v>
      </c>
      <c r="AC22" s="43">
        <v>120</v>
      </c>
      <c r="AD22" s="43">
        <v>142</v>
      </c>
      <c r="AE22" s="43">
        <v>158</v>
      </c>
      <c r="AF22" s="43">
        <v>139</v>
      </c>
      <c r="AG22" s="43">
        <v>134</v>
      </c>
      <c r="AH22" s="43">
        <v>132</v>
      </c>
      <c r="AI22" s="43">
        <v>146</v>
      </c>
      <c r="AJ22" s="43">
        <v>160</v>
      </c>
      <c r="AK22" s="43">
        <v>169</v>
      </c>
      <c r="AL22" s="43">
        <v>213</v>
      </c>
      <c r="AM22" s="43">
        <v>202</v>
      </c>
      <c r="AN22" s="43">
        <v>228</v>
      </c>
      <c r="AO22" s="43">
        <v>221</v>
      </c>
      <c r="AP22" s="43">
        <v>201</v>
      </c>
      <c r="AQ22" s="43">
        <v>158</v>
      </c>
      <c r="AR22" s="6">
        <v>178</v>
      </c>
      <c r="AS22" s="6">
        <v>179</v>
      </c>
      <c r="AT22" s="6">
        <v>174</v>
      </c>
      <c r="AU22" s="6">
        <v>165</v>
      </c>
      <c r="AV22" s="6">
        <v>201</v>
      </c>
      <c r="AW22" s="6">
        <v>229</v>
      </c>
      <c r="AX22" s="6">
        <v>259</v>
      </c>
      <c r="AY22" s="6">
        <v>209</v>
      </c>
      <c r="AZ22" s="6">
        <v>220</v>
      </c>
    </row>
    <row r="23" spans="1:158">
      <c r="A23" s="37" t="s">
        <v>210</v>
      </c>
      <c r="B23" s="38">
        <f t="shared" ref="B23:AP23" si="60">SUM(B25:B37)</f>
        <v>0</v>
      </c>
      <c r="C23" s="38">
        <f t="shared" si="60"/>
        <v>5942</v>
      </c>
      <c r="D23" s="38">
        <f t="shared" si="60"/>
        <v>6375</v>
      </c>
      <c r="E23" s="38">
        <f t="shared" si="60"/>
        <v>6695</v>
      </c>
      <c r="F23" s="38">
        <f t="shared" si="60"/>
        <v>7124</v>
      </c>
      <c r="G23" s="38">
        <f t="shared" si="60"/>
        <v>6900</v>
      </c>
      <c r="H23" s="38">
        <f t="shared" si="60"/>
        <v>6690</v>
      </c>
      <c r="I23" s="38">
        <f t="shared" si="60"/>
        <v>6752</v>
      </c>
      <c r="J23" s="38">
        <f t="shared" si="60"/>
        <v>6640</v>
      </c>
      <c r="K23" s="38">
        <f t="shared" si="60"/>
        <v>6338</v>
      </c>
      <c r="L23" s="38">
        <f t="shared" si="60"/>
        <v>6517</v>
      </c>
      <c r="M23" s="38">
        <f t="shared" si="60"/>
        <v>6805</v>
      </c>
      <c r="N23" s="38">
        <f t="shared" si="60"/>
        <v>7025</v>
      </c>
      <c r="O23" s="38">
        <f t="shared" si="60"/>
        <v>6864</v>
      </c>
      <c r="P23" s="38">
        <f t="shared" si="60"/>
        <v>7116</v>
      </c>
      <c r="Q23" s="38">
        <f t="shared" si="60"/>
        <v>6978</v>
      </c>
      <c r="R23" s="38">
        <f t="shared" si="60"/>
        <v>6832</v>
      </c>
      <c r="S23" s="38">
        <f t="shared" si="60"/>
        <v>7075</v>
      </c>
      <c r="T23" s="38">
        <f t="shared" si="60"/>
        <v>7088</v>
      </c>
      <c r="U23" s="38">
        <f t="shared" si="60"/>
        <v>7263</v>
      </c>
      <c r="V23" s="38">
        <f t="shared" si="60"/>
        <v>7425</v>
      </c>
      <c r="W23" s="38">
        <f t="shared" si="60"/>
        <v>8057</v>
      </c>
      <c r="X23" s="38">
        <f t="shared" si="60"/>
        <v>7992</v>
      </c>
      <c r="Y23" s="38">
        <f t="shared" si="60"/>
        <v>8149</v>
      </c>
      <c r="Z23" s="38">
        <f t="shared" si="60"/>
        <v>8606</v>
      </c>
      <c r="AA23" s="38">
        <f t="shared" si="60"/>
        <v>8830</v>
      </c>
      <c r="AB23" s="38">
        <f t="shared" si="60"/>
        <v>9236</v>
      </c>
      <c r="AC23" s="38">
        <f t="shared" si="60"/>
        <v>9102</v>
      </c>
      <c r="AD23" s="38">
        <f t="shared" si="60"/>
        <v>9813</v>
      </c>
      <c r="AE23" s="38">
        <f t="shared" si="60"/>
        <v>9436</v>
      </c>
      <c r="AF23" s="38">
        <f t="shared" si="60"/>
        <v>9335</v>
      </c>
      <c r="AG23" s="38">
        <f t="shared" si="60"/>
        <v>9279</v>
      </c>
      <c r="AH23" s="38">
        <f t="shared" si="60"/>
        <v>9493</v>
      </c>
      <c r="AI23" s="38">
        <f t="shared" si="60"/>
        <v>9238</v>
      </c>
      <c r="AJ23" s="38">
        <f t="shared" si="60"/>
        <v>9665</v>
      </c>
      <c r="AK23" s="38">
        <f t="shared" si="60"/>
        <v>9972</v>
      </c>
      <c r="AL23" s="38">
        <f t="shared" si="60"/>
        <v>10758</v>
      </c>
      <c r="AM23" s="38">
        <f t="shared" si="60"/>
        <v>11437</v>
      </c>
      <c r="AN23" s="38">
        <f t="shared" si="60"/>
        <v>12260</v>
      </c>
      <c r="AO23" s="38">
        <f t="shared" si="60"/>
        <v>12799</v>
      </c>
      <c r="AP23" s="38">
        <f t="shared" si="60"/>
        <v>13193</v>
      </c>
      <c r="AQ23" s="38">
        <f t="shared" ref="AQ23:AR23" si="61">SUM(AQ25:AQ37)</f>
        <v>12278</v>
      </c>
      <c r="AR23" s="38">
        <f t="shared" si="61"/>
        <v>12189</v>
      </c>
      <c r="AS23" s="38">
        <f t="shared" ref="AS23:AT23" si="62">SUM(AS25:AS37)</f>
        <v>13238</v>
      </c>
      <c r="AT23" s="38">
        <f t="shared" si="62"/>
        <v>13891</v>
      </c>
      <c r="AU23" s="38">
        <f t="shared" ref="AU23:AV23" si="63">SUM(AU25:AU37)</f>
        <v>13711</v>
      </c>
      <c r="AV23" s="38">
        <f t="shared" si="63"/>
        <v>14126</v>
      </c>
      <c r="AW23" s="38">
        <f t="shared" ref="AW23:AX23" si="64">SUM(AW25:AW37)</f>
        <v>13587</v>
      </c>
      <c r="AX23" s="38">
        <f t="shared" si="64"/>
        <v>13665</v>
      </c>
      <c r="AY23" s="38">
        <f t="shared" ref="AY23:AZ23" si="65">SUM(AY25:AY37)</f>
        <v>14089</v>
      </c>
      <c r="AZ23" s="38">
        <f t="shared" si="65"/>
        <v>14876</v>
      </c>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row>
    <row r="24" spans="1:158">
      <c r="A24" s="39" t="s">
        <v>213</v>
      </c>
      <c r="B24" s="40">
        <f t="shared" ref="B24:AP24" si="66">(B23/B4)*100</f>
        <v>0</v>
      </c>
      <c r="C24" s="40">
        <f t="shared" si="66"/>
        <v>19.903530515173845</v>
      </c>
      <c r="D24" s="40">
        <f t="shared" si="66"/>
        <v>19.867240089753182</v>
      </c>
      <c r="E24" s="40">
        <f t="shared" si="66"/>
        <v>20.073758695130728</v>
      </c>
      <c r="F24" s="40">
        <f t="shared" si="66"/>
        <v>20.490105844454671</v>
      </c>
      <c r="G24" s="40">
        <f t="shared" si="66"/>
        <v>20.415409195810401</v>
      </c>
      <c r="H24" s="40">
        <f t="shared" si="66"/>
        <v>19.638349087066285</v>
      </c>
      <c r="I24" s="40">
        <f t="shared" si="66"/>
        <v>19.838401645365064</v>
      </c>
      <c r="J24" s="40">
        <f t="shared" si="66"/>
        <v>19.989764277327872</v>
      </c>
      <c r="K24" s="40">
        <f t="shared" si="66"/>
        <v>19.731025465413111</v>
      </c>
      <c r="L24" s="40">
        <f t="shared" si="66"/>
        <v>19.920525752712823</v>
      </c>
      <c r="M24" s="40">
        <f t="shared" si="66"/>
        <v>20.874233128834355</v>
      </c>
      <c r="N24" s="40">
        <f t="shared" si="66"/>
        <v>21.322770594305833</v>
      </c>
      <c r="O24" s="40">
        <f t="shared" si="66"/>
        <v>20.997246864484552</v>
      </c>
      <c r="P24" s="40">
        <f t="shared" si="66"/>
        <v>21.720285696843906</v>
      </c>
      <c r="Q24" s="40">
        <f t="shared" si="66"/>
        <v>21.025038416342763</v>
      </c>
      <c r="R24" s="40">
        <f t="shared" si="66"/>
        <v>20.75271103550925</v>
      </c>
      <c r="S24" s="40">
        <f t="shared" si="66"/>
        <v>21.035887372521035</v>
      </c>
      <c r="T24" s="40">
        <f t="shared" si="66"/>
        <v>20.836640503277774</v>
      </c>
      <c r="U24" s="40">
        <f t="shared" si="66"/>
        <v>20.862896044581049</v>
      </c>
      <c r="V24" s="40">
        <f t="shared" si="66"/>
        <v>20.773879469531646</v>
      </c>
      <c r="W24" s="40">
        <f t="shared" si="66"/>
        <v>21.010770073278223</v>
      </c>
      <c r="X24" s="40">
        <f t="shared" si="66"/>
        <v>20.352968141187255</v>
      </c>
      <c r="Y24" s="40">
        <f t="shared" si="66"/>
        <v>20.050686481964469</v>
      </c>
      <c r="Z24" s="40">
        <f t="shared" si="66"/>
        <v>20.441319683617966</v>
      </c>
      <c r="AA24" s="40">
        <f t="shared" si="66"/>
        <v>20.465396560515458</v>
      </c>
      <c r="AB24" s="40">
        <f t="shared" si="66"/>
        <v>20.800864825908743</v>
      </c>
      <c r="AC24" s="40">
        <f t="shared" si="66"/>
        <v>20.410817598780103</v>
      </c>
      <c r="AD24" s="40">
        <f t="shared" si="66"/>
        <v>21.408936207347935</v>
      </c>
      <c r="AE24" s="40">
        <f t="shared" si="66"/>
        <v>20.508585090197784</v>
      </c>
      <c r="AF24" s="40">
        <f t="shared" si="66"/>
        <v>21.178846110216213</v>
      </c>
      <c r="AG24" s="40">
        <f t="shared" si="66"/>
        <v>20.708355650776646</v>
      </c>
      <c r="AH24" s="40">
        <f t="shared" si="66"/>
        <v>21.1406556208801</v>
      </c>
      <c r="AI24" s="40">
        <f t="shared" si="66"/>
        <v>20.919384057971012</v>
      </c>
      <c r="AJ24" s="40">
        <f t="shared" si="66"/>
        <v>20.991703227487946</v>
      </c>
      <c r="AK24" s="40">
        <f t="shared" si="66"/>
        <v>20.623332575021198</v>
      </c>
      <c r="AL24" s="40">
        <f t="shared" si="66"/>
        <v>20.440424844673291</v>
      </c>
      <c r="AM24" s="40">
        <f t="shared" si="66"/>
        <v>20.481366737701691</v>
      </c>
      <c r="AN24" s="40">
        <f t="shared" si="66"/>
        <v>20.22568298798997</v>
      </c>
      <c r="AO24" s="40">
        <f t="shared" si="66"/>
        <v>20.869409251740613</v>
      </c>
      <c r="AP24" s="40">
        <f t="shared" si="66"/>
        <v>21.480323678340579</v>
      </c>
      <c r="AQ24" s="40">
        <f t="shared" ref="AQ24:AR24" si="67">(AQ23/AQ4)*100</f>
        <v>21.493592885652266</v>
      </c>
      <c r="AR24" s="40">
        <f t="shared" si="67"/>
        <v>20.95157880261959</v>
      </c>
      <c r="AS24" s="40">
        <f t="shared" ref="AS24:AT24" si="68">(AS23/AS4)*100</f>
        <v>22.020759864262427</v>
      </c>
      <c r="AT24" s="40">
        <f t="shared" si="68"/>
        <v>22.295160902014285</v>
      </c>
      <c r="AU24" s="40">
        <f t="shared" ref="AU24:AV24" si="69">(AU23/AU4)*100</f>
        <v>21.301618867103748</v>
      </c>
      <c r="AV24" s="40">
        <f t="shared" si="69"/>
        <v>21.476571289567307</v>
      </c>
      <c r="AW24" s="40">
        <f t="shared" ref="AW24:AX24" si="70">(AW23/AW4)*100</f>
        <v>20.628871614235393</v>
      </c>
      <c r="AX24" s="40">
        <f t="shared" si="70"/>
        <v>20.347841624849234</v>
      </c>
      <c r="AY24" s="40">
        <f t="shared" ref="AY24:AZ24" si="71">(AY23/AY4)*100</f>
        <v>20.55917932554101</v>
      </c>
      <c r="AZ24" s="40">
        <f t="shared" si="71"/>
        <v>21.3447355582977</v>
      </c>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row>
    <row r="25" spans="1:158">
      <c r="A25" s="37" t="s">
        <v>125</v>
      </c>
      <c r="B25" s="41"/>
      <c r="C25" s="41">
        <v>7</v>
      </c>
      <c r="D25" s="41">
        <v>12</v>
      </c>
      <c r="E25" s="41">
        <v>3</v>
      </c>
      <c r="F25" s="41">
        <v>6</v>
      </c>
      <c r="G25" s="41">
        <v>9</v>
      </c>
      <c r="H25" s="41">
        <v>10</v>
      </c>
      <c r="I25" s="41">
        <v>8</v>
      </c>
      <c r="J25" s="41">
        <v>5</v>
      </c>
      <c r="K25" s="41">
        <v>3</v>
      </c>
      <c r="L25" s="41">
        <v>5</v>
      </c>
      <c r="M25" s="41"/>
      <c r="N25" s="41">
        <v>2</v>
      </c>
      <c r="O25" s="41">
        <v>6</v>
      </c>
      <c r="P25" s="41">
        <v>5</v>
      </c>
      <c r="Q25" s="41">
        <v>6</v>
      </c>
      <c r="R25" s="41">
        <v>8</v>
      </c>
      <c r="S25" s="41">
        <v>12</v>
      </c>
      <c r="T25" s="41">
        <v>7</v>
      </c>
      <c r="U25" s="41">
        <v>15</v>
      </c>
      <c r="V25" s="41">
        <v>14</v>
      </c>
      <c r="W25" s="41">
        <v>8</v>
      </c>
      <c r="X25" s="41">
        <v>10</v>
      </c>
      <c r="Y25" s="41">
        <v>13</v>
      </c>
      <c r="Z25" s="41">
        <v>10</v>
      </c>
      <c r="AA25" s="41">
        <v>24</v>
      </c>
      <c r="AB25" s="41">
        <v>19</v>
      </c>
      <c r="AC25" s="41">
        <v>28</v>
      </c>
      <c r="AD25" s="41">
        <v>20</v>
      </c>
      <c r="AE25" s="41">
        <v>68</v>
      </c>
      <c r="AF25" s="41">
        <v>27</v>
      </c>
      <c r="AG25" s="41">
        <v>20</v>
      </c>
      <c r="AH25" s="41">
        <v>27</v>
      </c>
      <c r="AI25" s="41">
        <v>19</v>
      </c>
      <c r="AJ25" s="41">
        <v>36</v>
      </c>
      <c r="AK25" s="41">
        <v>20</v>
      </c>
      <c r="AL25" s="41">
        <v>25</v>
      </c>
      <c r="AM25" s="41">
        <v>21</v>
      </c>
      <c r="AN25" s="41">
        <v>33</v>
      </c>
      <c r="AO25" s="41">
        <v>29</v>
      </c>
      <c r="AP25" s="41">
        <v>37</v>
      </c>
      <c r="AQ25" s="41">
        <v>45</v>
      </c>
      <c r="AR25" s="1">
        <v>46</v>
      </c>
      <c r="AS25" s="1">
        <v>50</v>
      </c>
      <c r="AT25" s="1">
        <v>54</v>
      </c>
      <c r="AU25" s="1">
        <v>52</v>
      </c>
      <c r="AV25" s="1">
        <v>41</v>
      </c>
      <c r="AW25" s="1">
        <v>48</v>
      </c>
      <c r="AX25" s="1">
        <v>56</v>
      </c>
      <c r="AY25" s="1">
        <v>57</v>
      </c>
      <c r="AZ25" s="1">
        <v>43</v>
      </c>
    </row>
    <row r="26" spans="1:158">
      <c r="A26" s="37" t="s">
        <v>126</v>
      </c>
      <c r="B26" s="41"/>
      <c r="C26" s="41">
        <v>383</v>
      </c>
      <c r="D26" s="41">
        <v>396</v>
      </c>
      <c r="E26" s="41">
        <v>386</v>
      </c>
      <c r="F26" s="41">
        <v>384</v>
      </c>
      <c r="G26" s="41">
        <v>421</v>
      </c>
      <c r="H26" s="41">
        <v>413</v>
      </c>
      <c r="I26" s="41">
        <v>387</v>
      </c>
      <c r="J26" s="41">
        <v>417</v>
      </c>
      <c r="K26" s="41">
        <v>403</v>
      </c>
      <c r="L26" s="41">
        <v>392</v>
      </c>
      <c r="M26" s="41">
        <v>417</v>
      </c>
      <c r="N26" s="41">
        <v>392</v>
      </c>
      <c r="O26" s="41">
        <v>442</v>
      </c>
      <c r="P26" s="41">
        <v>459</v>
      </c>
      <c r="Q26" s="41">
        <v>434</v>
      </c>
      <c r="R26" s="41">
        <v>431</v>
      </c>
      <c r="S26" s="41">
        <v>458</v>
      </c>
      <c r="T26" s="41">
        <v>506</v>
      </c>
      <c r="U26" s="41">
        <v>495</v>
      </c>
      <c r="V26" s="41">
        <v>559</v>
      </c>
      <c r="W26" s="41">
        <v>545</v>
      </c>
      <c r="X26" s="41">
        <v>668</v>
      </c>
      <c r="Y26" s="41">
        <v>633</v>
      </c>
      <c r="Z26" s="41">
        <v>690</v>
      </c>
      <c r="AA26" s="41">
        <v>754</v>
      </c>
      <c r="AB26" s="41">
        <v>787</v>
      </c>
      <c r="AC26" s="41">
        <v>756</v>
      </c>
      <c r="AD26" s="41">
        <v>789</v>
      </c>
      <c r="AE26" s="41">
        <v>788</v>
      </c>
      <c r="AF26" s="41">
        <v>778</v>
      </c>
      <c r="AG26" s="41">
        <v>764</v>
      </c>
      <c r="AH26" s="41">
        <v>696</v>
      </c>
      <c r="AI26" s="41">
        <v>809</v>
      </c>
      <c r="AJ26" s="41">
        <v>803</v>
      </c>
      <c r="AK26" s="41">
        <v>906</v>
      </c>
      <c r="AL26" s="41">
        <v>906</v>
      </c>
      <c r="AM26" s="41">
        <v>897</v>
      </c>
      <c r="AN26" s="41">
        <v>1098</v>
      </c>
      <c r="AO26" s="41">
        <v>1342</v>
      </c>
      <c r="AP26" s="41">
        <v>1656</v>
      </c>
      <c r="AQ26" s="41">
        <v>1641</v>
      </c>
      <c r="AR26" s="1">
        <v>1060</v>
      </c>
      <c r="AS26" s="1">
        <v>1685</v>
      </c>
      <c r="AT26" s="1">
        <v>1629</v>
      </c>
      <c r="AU26" s="1">
        <v>1617</v>
      </c>
      <c r="AV26" s="1">
        <v>1795</v>
      </c>
      <c r="AW26" s="1">
        <v>1735</v>
      </c>
      <c r="AX26" s="1">
        <v>1713</v>
      </c>
      <c r="AY26" s="1">
        <v>1879</v>
      </c>
      <c r="AZ26" s="1">
        <v>2098</v>
      </c>
    </row>
    <row r="27" spans="1:158">
      <c r="A27" s="37" t="s">
        <v>127</v>
      </c>
      <c r="B27" s="41"/>
      <c r="C27" s="41">
        <v>3175</v>
      </c>
      <c r="D27" s="41">
        <v>3349</v>
      </c>
      <c r="E27" s="41">
        <v>3490</v>
      </c>
      <c r="F27" s="41">
        <v>3917</v>
      </c>
      <c r="G27" s="41">
        <v>3699</v>
      </c>
      <c r="H27" s="41">
        <v>3628</v>
      </c>
      <c r="I27" s="41">
        <v>3799</v>
      </c>
      <c r="J27" s="41">
        <v>3683</v>
      </c>
      <c r="K27" s="41">
        <v>3644</v>
      </c>
      <c r="L27" s="41">
        <v>3718</v>
      </c>
      <c r="M27" s="41">
        <v>3982</v>
      </c>
      <c r="N27" s="41">
        <v>4154</v>
      </c>
      <c r="O27" s="41">
        <v>4011</v>
      </c>
      <c r="P27" s="41">
        <v>4106</v>
      </c>
      <c r="Q27" s="41">
        <v>4041</v>
      </c>
      <c r="R27" s="41">
        <v>3913</v>
      </c>
      <c r="S27" s="41">
        <v>4140</v>
      </c>
      <c r="T27" s="41">
        <v>4083</v>
      </c>
      <c r="U27" s="41">
        <v>4116</v>
      </c>
      <c r="V27" s="41">
        <v>4209</v>
      </c>
      <c r="W27" s="41">
        <v>4747</v>
      </c>
      <c r="X27" s="41">
        <v>4540</v>
      </c>
      <c r="Y27" s="41">
        <v>4703</v>
      </c>
      <c r="Z27" s="41">
        <v>4987</v>
      </c>
      <c r="AA27" s="41">
        <v>5034</v>
      </c>
      <c r="AB27" s="41">
        <v>5367</v>
      </c>
      <c r="AC27" s="41">
        <v>5110</v>
      </c>
      <c r="AD27" s="41">
        <v>5675</v>
      </c>
      <c r="AE27" s="41">
        <v>5388</v>
      </c>
      <c r="AF27" s="41">
        <v>5408</v>
      </c>
      <c r="AG27" s="41">
        <v>5480</v>
      </c>
      <c r="AH27" s="41">
        <v>5795</v>
      </c>
      <c r="AI27" s="41">
        <v>5531</v>
      </c>
      <c r="AJ27" s="41">
        <v>5731</v>
      </c>
      <c r="AK27" s="41">
        <v>5913</v>
      </c>
      <c r="AL27" s="41">
        <v>6203</v>
      </c>
      <c r="AM27" s="41">
        <v>6675</v>
      </c>
      <c r="AN27" s="41">
        <v>7124</v>
      </c>
      <c r="AO27" s="41">
        <v>7372</v>
      </c>
      <c r="AP27" s="41">
        <v>7262</v>
      </c>
      <c r="AQ27" s="41">
        <v>6903</v>
      </c>
      <c r="AR27" s="1">
        <v>7093</v>
      </c>
      <c r="AS27" s="1">
        <v>7235</v>
      </c>
      <c r="AT27" s="1">
        <v>7683</v>
      </c>
      <c r="AU27" s="1">
        <v>7614</v>
      </c>
      <c r="AV27" s="1">
        <v>7697</v>
      </c>
      <c r="AW27" s="1">
        <v>7271</v>
      </c>
      <c r="AX27" s="1">
        <v>7324</v>
      </c>
      <c r="AY27" s="1">
        <v>7408</v>
      </c>
      <c r="AZ27" s="1">
        <v>7787</v>
      </c>
    </row>
    <row r="28" spans="1:158">
      <c r="A28" s="37" t="s">
        <v>128</v>
      </c>
      <c r="B28" s="41"/>
      <c r="C28" s="41">
        <v>636</v>
      </c>
      <c r="D28" s="41">
        <v>656</v>
      </c>
      <c r="E28" s="41">
        <v>714</v>
      </c>
      <c r="F28" s="41">
        <v>697</v>
      </c>
      <c r="G28" s="41">
        <v>715</v>
      </c>
      <c r="H28" s="41">
        <v>701</v>
      </c>
      <c r="I28" s="41">
        <v>726</v>
      </c>
      <c r="J28" s="41">
        <v>703</v>
      </c>
      <c r="K28" s="41">
        <v>679</v>
      </c>
      <c r="L28" s="41">
        <v>655</v>
      </c>
      <c r="M28" s="41">
        <v>618</v>
      </c>
      <c r="N28" s="41">
        <v>711</v>
      </c>
      <c r="O28" s="41">
        <v>611</v>
      </c>
      <c r="P28" s="41">
        <v>680</v>
      </c>
      <c r="Q28" s="41">
        <v>655</v>
      </c>
      <c r="R28" s="41">
        <v>601</v>
      </c>
      <c r="S28" s="41">
        <v>588</v>
      </c>
      <c r="T28" s="41">
        <v>636</v>
      </c>
      <c r="U28" s="41">
        <v>667</v>
      </c>
      <c r="V28" s="41">
        <v>665</v>
      </c>
      <c r="W28" s="41">
        <v>718</v>
      </c>
      <c r="X28" s="41">
        <v>715</v>
      </c>
      <c r="Y28" s="41">
        <v>707</v>
      </c>
      <c r="Z28" s="41">
        <v>768</v>
      </c>
      <c r="AA28" s="41">
        <v>765</v>
      </c>
      <c r="AB28" s="41">
        <v>788</v>
      </c>
      <c r="AC28" s="41">
        <v>830</v>
      </c>
      <c r="AD28" s="41">
        <v>887</v>
      </c>
      <c r="AE28" s="41">
        <v>851</v>
      </c>
      <c r="AF28" s="41">
        <v>845</v>
      </c>
      <c r="AG28" s="41">
        <v>796</v>
      </c>
      <c r="AH28" s="41">
        <v>748</v>
      </c>
      <c r="AI28" s="41">
        <v>721</v>
      </c>
      <c r="AJ28" s="41">
        <v>813</v>
      </c>
      <c r="AK28" s="41">
        <v>780</v>
      </c>
      <c r="AL28" s="41">
        <v>1062</v>
      </c>
      <c r="AM28" s="41">
        <v>983</v>
      </c>
      <c r="AN28" s="41">
        <v>1031</v>
      </c>
      <c r="AO28" s="41">
        <v>991</v>
      </c>
      <c r="AP28" s="41">
        <v>1114</v>
      </c>
      <c r="AQ28" s="41">
        <v>913</v>
      </c>
      <c r="AR28" s="1">
        <v>956</v>
      </c>
      <c r="AS28" s="1">
        <v>985</v>
      </c>
      <c r="AT28" s="1">
        <v>1113</v>
      </c>
      <c r="AU28" s="1">
        <v>1196</v>
      </c>
      <c r="AV28" s="1">
        <v>1182</v>
      </c>
      <c r="AW28" s="1">
        <v>1194</v>
      </c>
      <c r="AX28" s="1">
        <v>1168</v>
      </c>
      <c r="AY28" s="1">
        <v>1169</v>
      </c>
      <c r="AZ28" s="1">
        <v>1209</v>
      </c>
    </row>
    <row r="29" spans="1:158">
      <c r="A29" s="37" t="s">
        <v>131</v>
      </c>
      <c r="B29" s="41"/>
      <c r="C29" s="41">
        <v>53</v>
      </c>
      <c r="D29" s="41">
        <v>78</v>
      </c>
      <c r="E29" s="41">
        <v>80</v>
      </c>
      <c r="F29" s="41">
        <v>94</v>
      </c>
      <c r="G29" s="41">
        <v>109</v>
      </c>
      <c r="H29" s="41">
        <v>97</v>
      </c>
      <c r="I29" s="41">
        <v>116</v>
      </c>
      <c r="J29" s="41">
        <v>134</v>
      </c>
      <c r="K29" s="41">
        <v>129</v>
      </c>
      <c r="L29" s="41">
        <v>122</v>
      </c>
      <c r="M29" s="41">
        <v>103</v>
      </c>
      <c r="N29" s="41">
        <v>114</v>
      </c>
      <c r="O29" s="41">
        <v>111</v>
      </c>
      <c r="P29" s="41">
        <v>120</v>
      </c>
      <c r="Q29" s="41">
        <v>101</v>
      </c>
      <c r="R29" s="41">
        <v>138</v>
      </c>
      <c r="S29" s="41">
        <v>132</v>
      </c>
      <c r="T29" s="41">
        <v>145</v>
      </c>
      <c r="U29" s="41">
        <v>116</v>
      </c>
      <c r="V29" s="41">
        <v>172</v>
      </c>
      <c r="W29" s="41">
        <v>114</v>
      </c>
      <c r="X29" s="41">
        <v>144</v>
      </c>
      <c r="Y29" s="41">
        <v>145</v>
      </c>
      <c r="Z29" s="41">
        <v>168</v>
      </c>
      <c r="AA29" s="41">
        <v>175</v>
      </c>
      <c r="AB29" s="41">
        <v>166</v>
      </c>
      <c r="AC29" s="41">
        <v>196</v>
      </c>
      <c r="AD29" s="41">
        <v>185</v>
      </c>
      <c r="AE29" s="41">
        <v>168</v>
      </c>
      <c r="AF29" s="41">
        <v>164</v>
      </c>
      <c r="AG29" s="41">
        <v>171</v>
      </c>
      <c r="AH29" s="41">
        <v>193</v>
      </c>
      <c r="AI29" s="41">
        <v>130</v>
      </c>
      <c r="AJ29" s="41">
        <v>146</v>
      </c>
      <c r="AK29" s="41">
        <v>127</v>
      </c>
      <c r="AL29" s="41">
        <v>172</v>
      </c>
      <c r="AM29" s="41">
        <v>178</v>
      </c>
      <c r="AN29" s="41">
        <v>186</v>
      </c>
      <c r="AO29" s="41">
        <v>239</v>
      </c>
      <c r="AP29" s="41">
        <v>211</v>
      </c>
      <c r="AQ29" s="41">
        <v>187</v>
      </c>
      <c r="AR29" s="1">
        <v>261</v>
      </c>
      <c r="AS29" s="1">
        <v>210</v>
      </c>
      <c r="AT29" s="1">
        <v>254</v>
      </c>
      <c r="AU29" s="1">
        <v>212</v>
      </c>
      <c r="AV29" s="1">
        <v>260</v>
      </c>
      <c r="AW29" s="1">
        <v>231</v>
      </c>
      <c r="AX29" s="1">
        <v>212</v>
      </c>
      <c r="AY29" s="1">
        <v>206</v>
      </c>
      <c r="AZ29" s="1">
        <v>207</v>
      </c>
    </row>
    <row r="30" spans="1:158">
      <c r="A30" s="37" t="s">
        <v>133</v>
      </c>
      <c r="B30" s="41"/>
      <c r="C30" s="41">
        <v>45</v>
      </c>
      <c r="D30" s="41">
        <v>57</v>
      </c>
      <c r="E30" s="41">
        <v>58</v>
      </c>
      <c r="F30" s="41">
        <v>44</v>
      </c>
      <c r="G30" s="41">
        <v>69</v>
      </c>
      <c r="H30" s="41">
        <v>65</v>
      </c>
      <c r="I30" s="41">
        <v>70</v>
      </c>
      <c r="J30" s="41">
        <v>49</v>
      </c>
      <c r="K30" s="41">
        <v>59</v>
      </c>
      <c r="L30" s="41">
        <v>64</v>
      </c>
      <c r="M30" s="41">
        <v>55</v>
      </c>
      <c r="N30" s="41">
        <v>60</v>
      </c>
      <c r="O30" s="41">
        <v>55</v>
      </c>
      <c r="P30" s="41">
        <v>49</v>
      </c>
      <c r="Q30" s="41">
        <v>49</v>
      </c>
      <c r="R30" s="41">
        <v>54</v>
      </c>
      <c r="S30" s="41">
        <v>42</v>
      </c>
      <c r="T30" s="41">
        <v>47</v>
      </c>
      <c r="U30" s="41">
        <v>63</v>
      </c>
      <c r="V30" s="41">
        <v>60</v>
      </c>
      <c r="W30" s="41">
        <v>90</v>
      </c>
      <c r="X30" s="41">
        <v>76</v>
      </c>
      <c r="Y30" s="41">
        <v>76</v>
      </c>
      <c r="Z30" s="41">
        <v>65</v>
      </c>
      <c r="AA30" s="41">
        <v>88</v>
      </c>
      <c r="AB30" s="41">
        <v>80</v>
      </c>
      <c r="AC30" s="41">
        <v>94</v>
      </c>
      <c r="AD30" s="41">
        <v>90</v>
      </c>
      <c r="AE30" s="41">
        <v>91</v>
      </c>
      <c r="AF30" s="41">
        <v>85</v>
      </c>
      <c r="AG30" s="41">
        <v>105</v>
      </c>
      <c r="AH30" s="41">
        <v>91</v>
      </c>
      <c r="AI30" s="41">
        <v>91</v>
      </c>
      <c r="AJ30" s="41">
        <v>131</v>
      </c>
      <c r="AK30" s="41">
        <v>105</v>
      </c>
      <c r="AL30" s="41">
        <v>139</v>
      </c>
      <c r="AM30" s="41">
        <v>172</v>
      </c>
      <c r="AN30" s="41">
        <v>161</v>
      </c>
      <c r="AO30" s="41">
        <v>156</v>
      </c>
      <c r="AP30" s="41">
        <v>159</v>
      </c>
      <c r="AQ30" s="41">
        <v>109</v>
      </c>
      <c r="AR30" s="1">
        <v>115</v>
      </c>
      <c r="AS30" s="1">
        <v>111</v>
      </c>
      <c r="AT30" s="1">
        <v>153</v>
      </c>
      <c r="AU30" s="1">
        <v>151</v>
      </c>
      <c r="AV30" s="1">
        <v>129</v>
      </c>
      <c r="AW30" s="1">
        <v>145</v>
      </c>
      <c r="AX30" s="1">
        <v>137</v>
      </c>
      <c r="AY30" s="1">
        <v>137</v>
      </c>
      <c r="AZ30" s="1">
        <v>149</v>
      </c>
    </row>
    <row r="31" spans="1:158">
      <c r="A31" s="37" t="s">
        <v>142</v>
      </c>
      <c r="B31" s="41"/>
      <c r="C31" s="41">
        <v>63</v>
      </c>
      <c r="D31" s="41">
        <v>76</v>
      </c>
      <c r="E31" s="41">
        <v>72</v>
      </c>
      <c r="F31" s="41">
        <v>75</v>
      </c>
      <c r="G31" s="41">
        <v>103</v>
      </c>
      <c r="H31" s="41">
        <v>81</v>
      </c>
      <c r="I31" s="41">
        <v>70</v>
      </c>
      <c r="J31" s="41">
        <v>63</v>
      </c>
      <c r="K31" s="41">
        <v>49</v>
      </c>
      <c r="L31" s="41">
        <v>50</v>
      </c>
      <c r="M31" s="41">
        <v>56</v>
      </c>
      <c r="N31" s="41">
        <v>38</v>
      </c>
      <c r="O31" s="41">
        <v>48</v>
      </c>
      <c r="P31" s="41">
        <v>51</v>
      </c>
      <c r="Q31" s="41">
        <v>53</v>
      </c>
      <c r="R31" s="41">
        <v>52</v>
      </c>
      <c r="S31" s="41">
        <v>60</v>
      </c>
      <c r="T31" s="41">
        <v>49</v>
      </c>
      <c r="U31" s="41">
        <v>65</v>
      </c>
      <c r="V31" s="41">
        <v>57</v>
      </c>
      <c r="W31" s="41">
        <v>71</v>
      </c>
      <c r="X31" s="41">
        <v>56</v>
      </c>
      <c r="Y31" s="41">
        <v>65</v>
      </c>
      <c r="Z31" s="41">
        <v>57</v>
      </c>
      <c r="AA31" s="41">
        <v>57</v>
      </c>
      <c r="AB31" s="41">
        <v>66</v>
      </c>
      <c r="AC31" s="41">
        <v>61</v>
      </c>
      <c r="AD31" s="41">
        <v>93</v>
      </c>
      <c r="AE31" s="41">
        <v>98</v>
      </c>
      <c r="AF31" s="41">
        <v>83</v>
      </c>
      <c r="AG31" s="41">
        <v>65</v>
      </c>
      <c r="AH31" s="41">
        <v>56</v>
      </c>
      <c r="AI31" s="41">
        <v>73</v>
      </c>
      <c r="AJ31" s="41">
        <v>75</v>
      </c>
      <c r="AK31" s="41">
        <v>80</v>
      </c>
      <c r="AL31" s="41">
        <v>117</v>
      </c>
      <c r="AM31" s="41">
        <v>112</v>
      </c>
      <c r="AN31" s="41">
        <v>133</v>
      </c>
      <c r="AO31" s="41">
        <v>137</v>
      </c>
      <c r="AP31" s="41">
        <v>140</v>
      </c>
      <c r="AQ31" s="41">
        <v>93</v>
      </c>
      <c r="AR31" s="1">
        <v>101</v>
      </c>
      <c r="AS31" s="1">
        <v>97</v>
      </c>
      <c r="AT31" s="1">
        <v>98</v>
      </c>
      <c r="AU31" s="1">
        <v>107</v>
      </c>
      <c r="AV31" s="1">
        <v>129</v>
      </c>
      <c r="AW31" s="1">
        <v>118</v>
      </c>
      <c r="AX31" s="1">
        <v>122</v>
      </c>
      <c r="AY31" s="1">
        <v>112</v>
      </c>
      <c r="AZ31" s="1">
        <v>128</v>
      </c>
    </row>
    <row r="32" spans="1:158">
      <c r="A32" s="37" t="s">
        <v>148</v>
      </c>
      <c r="B32" s="41"/>
      <c r="C32" s="41">
        <v>11</v>
      </c>
      <c r="D32" s="41">
        <v>19</v>
      </c>
      <c r="E32" s="41">
        <v>21</v>
      </c>
      <c r="F32" s="41">
        <v>24</v>
      </c>
      <c r="G32" s="41">
        <v>11</v>
      </c>
      <c r="H32" s="41">
        <v>15</v>
      </c>
      <c r="I32" s="41">
        <v>24</v>
      </c>
      <c r="J32" s="41">
        <v>33</v>
      </c>
      <c r="K32" s="41">
        <v>18</v>
      </c>
      <c r="L32" s="41">
        <v>19</v>
      </c>
      <c r="M32" s="41">
        <v>21</v>
      </c>
      <c r="N32" s="41">
        <v>30</v>
      </c>
      <c r="O32" s="41">
        <v>34</v>
      </c>
      <c r="P32" s="41">
        <v>26</v>
      </c>
      <c r="Q32" s="41">
        <v>29</v>
      </c>
      <c r="R32" s="41">
        <v>31</v>
      </c>
      <c r="S32" s="41">
        <v>28</v>
      </c>
      <c r="T32" s="41">
        <v>32</v>
      </c>
      <c r="U32" s="41">
        <v>28</v>
      </c>
      <c r="V32" s="41">
        <v>35</v>
      </c>
      <c r="W32" s="41">
        <v>38</v>
      </c>
      <c r="X32" s="41">
        <v>36</v>
      </c>
      <c r="Y32" s="41">
        <v>45</v>
      </c>
      <c r="Z32" s="41">
        <v>39</v>
      </c>
      <c r="AA32" s="41">
        <v>52</v>
      </c>
      <c r="AB32" s="41">
        <v>77</v>
      </c>
      <c r="AC32" s="41">
        <v>76</v>
      </c>
      <c r="AD32" s="41">
        <v>89</v>
      </c>
      <c r="AE32" s="41">
        <v>91</v>
      </c>
      <c r="AF32" s="41">
        <v>88</v>
      </c>
      <c r="AG32" s="41">
        <v>115</v>
      </c>
      <c r="AH32" s="41">
        <v>91</v>
      </c>
      <c r="AI32" s="41">
        <v>107</v>
      </c>
      <c r="AJ32" s="41">
        <v>132</v>
      </c>
      <c r="AK32" s="41">
        <v>121</v>
      </c>
      <c r="AL32" s="41">
        <v>126</v>
      </c>
      <c r="AM32" s="41">
        <v>157</v>
      </c>
      <c r="AN32" s="41">
        <v>157</v>
      </c>
      <c r="AO32" s="41">
        <v>173</v>
      </c>
      <c r="AP32" s="41">
        <v>260</v>
      </c>
      <c r="AQ32" s="41">
        <v>235</v>
      </c>
      <c r="AR32" s="1">
        <v>256</v>
      </c>
      <c r="AS32" s="1">
        <v>264</v>
      </c>
      <c r="AT32" s="1">
        <v>281</v>
      </c>
      <c r="AU32" s="1">
        <v>242</v>
      </c>
      <c r="AV32" s="1">
        <v>258</v>
      </c>
      <c r="AW32" s="1">
        <v>296</v>
      </c>
      <c r="AX32" s="1">
        <v>272</v>
      </c>
      <c r="AY32" s="1">
        <v>296</v>
      </c>
      <c r="AZ32" s="1">
        <v>283</v>
      </c>
    </row>
    <row r="33" spans="1:158">
      <c r="A33" s="37" t="s">
        <v>147</v>
      </c>
      <c r="B33" s="41"/>
      <c r="C33" s="41">
        <v>182</v>
      </c>
      <c r="D33" s="41">
        <v>182</v>
      </c>
      <c r="E33" s="41">
        <v>188</v>
      </c>
      <c r="F33" s="41">
        <v>213</v>
      </c>
      <c r="G33" s="41">
        <v>218</v>
      </c>
      <c r="H33" s="41">
        <v>143</v>
      </c>
      <c r="I33" s="41">
        <v>167</v>
      </c>
      <c r="J33" s="41">
        <v>166</v>
      </c>
      <c r="K33" s="41">
        <v>155</v>
      </c>
      <c r="L33" s="41">
        <v>158</v>
      </c>
      <c r="M33" s="41">
        <v>166</v>
      </c>
      <c r="N33" s="41">
        <v>165</v>
      </c>
      <c r="O33" s="41">
        <v>151</v>
      </c>
      <c r="P33" s="41">
        <v>170</v>
      </c>
      <c r="Q33" s="41">
        <v>174</v>
      </c>
      <c r="R33" s="41">
        <v>189</v>
      </c>
      <c r="S33" s="41">
        <v>209</v>
      </c>
      <c r="T33" s="41">
        <v>206</v>
      </c>
      <c r="U33" s="41">
        <v>222</v>
      </c>
      <c r="V33" s="41">
        <v>217</v>
      </c>
      <c r="W33" s="41">
        <v>223</v>
      </c>
      <c r="X33" s="41">
        <v>232</v>
      </c>
      <c r="Y33" s="41">
        <v>229</v>
      </c>
      <c r="Z33" s="41">
        <v>243</v>
      </c>
      <c r="AA33" s="41">
        <v>243</v>
      </c>
      <c r="AB33" s="41">
        <v>285</v>
      </c>
      <c r="AC33" s="41">
        <v>305</v>
      </c>
      <c r="AD33" s="41">
        <v>280</v>
      </c>
      <c r="AE33" s="41">
        <v>307</v>
      </c>
      <c r="AF33" s="41">
        <v>279</v>
      </c>
      <c r="AG33" s="41">
        <v>271</v>
      </c>
      <c r="AH33" s="41">
        <v>265</v>
      </c>
      <c r="AI33" s="41">
        <v>280</v>
      </c>
      <c r="AJ33" s="41">
        <v>244</v>
      </c>
      <c r="AK33" s="41">
        <v>283</v>
      </c>
      <c r="AL33" s="41">
        <v>313</v>
      </c>
      <c r="AM33" s="41">
        <v>279</v>
      </c>
      <c r="AN33" s="41">
        <v>278</v>
      </c>
      <c r="AO33" s="41">
        <v>253</v>
      </c>
      <c r="AP33" s="41">
        <v>288</v>
      </c>
      <c r="AQ33" s="41">
        <v>263</v>
      </c>
      <c r="AR33" s="1">
        <v>280</v>
      </c>
      <c r="AS33" s="1">
        <v>320</v>
      </c>
      <c r="AT33" s="1">
        <v>344</v>
      </c>
      <c r="AU33" s="1">
        <v>356</v>
      </c>
      <c r="AV33" s="1">
        <v>366</v>
      </c>
      <c r="AW33" s="1">
        <v>321</v>
      </c>
      <c r="AX33" s="1">
        <v>308</v>
      </c>
      <c r="AY33" s="1">
        <v>338</v>
      </c>
      <c r="AZ33" s="1">
        <v>345</v>
      </c>
    </row>
    <row r="34" spans="1:158">
      <c r="A34" s="37" t="s">
        <v>151</v>
      </c>
      <c r="B34" s="41"/>
      <c r="C34" s="41">
        <v>441</v>
      </c>
      <c r="D34" s="41">
        <v>494</v>
      </c>
      <c r="E34" s="41">
        <v>573</v>
      </c>
      <c r="F34" s="41">
        <v>524</v>
      </c>
      <c r="G34" s="41">
        <v>481</v>
      </c>
      <c r="H34" s="41">
        <v>465</v>
      </c>
      <c r="I34" s="41">
        <v>409</v>
      </c>
      <c r="J34" s="41">
        <v>411</v>
      </c>
      <c r="K34" s="41">
        <v>331</v>
      </c>
      <c r="L34" s="41">
        <v>375</v>
      </c>
      <c r="M34" s="41">
        <v>346</v>
      </c>
      <c r="N34" s="41">
        <v>405</v>
      </c>
      <c r="O34" s="41">
        <v>392</v>
      </c>
      <c r="P34" s="41">
        <v>457</v>
      </c>
      <c r="Q34" s="41">
        <v>460</v>
      </c>
      <c r="R34" s="41">
        <v>421</v>
      </c>
      <c r="S34" s="41">
        <v>433</v>
      </c>
      <c r="T34" s="41">
        <v>349</v>
      </c>
      <c r="U34" s="41">
        <v>409</v>
      </c>
      <c r="V34" s="41">
        <v>414</v>
      </c>
      <c r="W34" s="41">
        <v>452</v>
      </c>
      <c r="X34" s="41">
        <v>436</v>
      </c>
      <c r="Y34" s="41">
        <v>511</v>
      </c>
      <c r="Z34" s="41">
        <v>535</v>
      </c>
      <c r="AA34" s="41">
        <v>531</v>
      </c>
      <c r="AB34" s="41">
        <v>493</v>
      </c>
      <c r="AC34" s="41">
        <v>476</v>
      </c>
      <c r="AD34" s="41">
        <v>504</v>
      </c>
      <c r="AE34" s="41">
        <v>458</v>
      </c>
      <c r="AF34" s="41">
        <v>428</v>
      </c>
      <c r="AG34" s="41">
        <v>422</v>
      </c>
      <c r="AH34" s="41">
        <v>463</v>
      </c>
      <c r="AI34" s="41">
        <v>418</v>
      </c>
      <c r="AJ34" s="41">
        <v>499</v>
      </c>
      <c r="AK34" s="41">
        <v>504</v>
      </c>
      <c r="AL34" s="41">
        <v>477</v>
      </c>
      <c r="AM34" s="41">
        <v>577</v>
      </c>
      <c r="AN34" s="41">
        <v>554</v>
      </c>
      <c r="AO34" s="41">
        <v>578</v>
      </c>
      <c r="AP34" s="41">
        <v>571</v>
      </c>
      <c r="AQ34" s="41">
        <v>444</v>
      </c>
      <c r="AR34" s="1">
        <v>438</v>
      </c>
      <c r="AS34" s="1">
        <v>511</v>
      </c>
      <c r="AT34" s="1">
        <v>513</v>
      </c>
      <c r="AU34" s="1">
        <v>499</v>
      </c>
      <c r="AV34" s="1">
        <v>537</v>
      </c>
      <c r="AW34" s="1">
        <v>554</v>
      </c>
      <c r="AX34" s="1">
        <v>683</v>
      </c>
      <c r="AY34" s="1">
        <v>768</v>
      </c>
      <c r="AZ34" s="1">
        <v>815</v>
      </c>
    </row>
    <row r="35" spans="1:158">
      <c r="A35" s="37" t="s">
        <v>155</v>
      </c>
      <c r="B35" s="41"/>
      <c r="C35" s="41">
        <v>413</v>
      </c>
      <c r="D35" s="41">
        <v>394</v>
      </c>
      <c r="E35" s="41">
        <v>491</v>
      </c>
      <c r="F35" s="41">
        <v>460</v>
      </c>
      <c r="G35" s="41">
        <v>442</v>
      </c>
      <c r="H35" s="41">
        <v>455</v>
      </c>
      <c r="I35" s="41">
        <v>407</v>
      </c>
      <c r="J35" s="41">
        <v>445</v>
      </c>
      <c r="K35" s="41">
        <v>357</v>
      </c>
      <c r="L35" s="41">
        <v>393</v>
      </c>
      <c r="M35" s="41">
        <v>453</v>
      </c>
      <c r="N35" s="41">
        <v>383</v>
      </c>
      <c r="O35" s="41">
        <v>408</v>
      </c>
      <c r="P35" s="41">
        <v>371</v>
      </c>
      <c r="Q35" s="41">
        <v>371</v>
      </c>
      <c r="R35" s="41">
        <v>358</v>
      </c>
      <c r="S35" s="41">
        <v>371</v>
      </c>
      <c r="T35" s="41">
        <v>361</v>
      </c>
      <c r="U35" s="41">
        <v>418</v>
      </c>
      <c r="V35" s="41">
        <v>367</v>
      </c>
      <c r="W35" s="41">
        <v>361</v>
      </c>
      <c r="X35" s="41">
        <v>356</v>
      </c>
      <c r="Y35" s="41">
        <v>378</v>
      </c>
      <c r="Z35" s="41">
        <v>376</v>
      </c>
      <c r="AA35" s="41">
        <v>338</v>
      </c>
      <c r="AB35" s="41">
        <v>358</v>
      </c>
      <c r="AC35" s="41">
        <v>402</v>
      </c>
      <c r="AD35" s="41">
        <v>387</v>
      </c>
      <c r="AE35" s="41">
        <v>357</v>
      </c>
      <c r="AF35" s="41">
        <v>376</v>
      </c>
      <c r="AG35" s="41">
        <v>350</v>
      </c>
      <c r="AH35" s="41">
        <v>336</v>
      </c>
      <c r="AI35" s="41">
        <v>350</v>
      </c>
      <c r="AJ35" s="41">
        <v>336</v>
      </c>
      <c r="AK35" s="41">
        <v>362</v>
      </c>
      <c r="AL35" s="41">
        <v>373</v>
      </c>
      <c r="AM35" s="41">
        <v>436</v>
      </c>
      <c r="AN35" s="41">
        <v>510</v>
      </c>
      <c r="AO35" s="41">
        <v>570</v>
      </c>
      <c r="AP35" s="41">
        <v>474</v>
      </c>
      <c r="AQ35" s="41">
        <v>437</v>
      </c>
      <c r="AR35" s="1">
        <v>511</v>
      </c>
      <c r="AS35" s="1">
        <v>636</v>
      </c>
      <c r="AT35" s="1">
        <v>567</v>
      </c>
      <c r="AU35" s="1">
        <v>569</v>
      </c>
      <c r="AV35" s="1">
        <v>611</v>
      </c>
      <c r="AW35" s="1">
        <v>568</v>
      </c>
      <c r="AX35" s="1">
        <v>553</v>
      </c>
      <c r="AY35" s="1">
        <v>568</v>
      </c>
      <c r="AZ35" s="1">
        <v>601</v>
      </c>
    </row>
    <row r="36" spans="1:158">
      <c r="A36" s="37" t="s">
        <v>67</v>
      </c>
      <c r="B36" s="41"/>
      <c r="C36" s="41">
        <v>466</v>
      </c>
      <c r="D36" s="41">
        <v>574</v>
      </c>
      <c r="E36" s="41">
        <v>541</v>
      </c>
      <c r="F36" s="41">
        <v>613</v>
      </c>
      <c r="G36" s="41">
        <v>538</v>
      </c>
      <c r="H36" s="41">
        <v>539</v>
      </c>
      <c r="I36" s="41">
        <v>512</v>
      </c>
      <c r="J36" s="41">
        <v>462</v>
      </c>
      <c r="K36" s="41">
        <v>453</v>
      </c>
      <c r="L36" s="41">
        <v>511</v>
      </c>
      <c r="M36" s="41">
        <v>512</v>
      </c>
      <c r="N36" s="41">
        <v>493</v>
      </c>
      <c r="O36" s="41">
        <v>531</v>
      </c>
      <c r="P36" s="41">
        <v>573</v>
      </c>
      <c r="Q36" s="41">
        <v>550</v>
      </c>
      <c r="R36" s="41">
        <v>514</v>
      </c>
      <c r="S36" s="41">
        <v>527</v>
      </c>
      <c r="T36" s="41">
        <v>599</v>
      </c>
      <c r="U36" s="41">
        <v>576</v>
      </c>
      <c r="V36" s="41">
        <v>583</v>
      </c>
      <c r="W36" s="41">
        <v>632</v>
      </c>
      <c r="X36" s="41">
        <v>656</v>
      </c>
      <c r="Y36" s="41">
        <v>594</v>
      </c>
      <c r="Z36" s="41">
        <v>618</v>
      </c>
      <c r="AA36" s="41">
        <v>696</v>
      </c>
      <c r="AB36" s="41">
        <v>687</v>
      </c>
      <c r="AC36" s="41">
        <v>690</v>
      </c>
      <c r="AD36" s="41">
        <v>735</v>
      </c>
      <c r="AE36" s="41">
        <v>707</v>
      </c>
      <c r="AF36" s="41">
        <v>711</v>
      </c>
      <c r="AG36" s="41">
        <v>647</v>
      </c>
      <c r="AH36" s="41">
        <v>662</v>
      </c>
      <c r="AI36" s="41">
        <v>654</v>
      </c>
      <c r="AJ36" s="41">
        <v>663</v>
      </c>
      <c r="AK36" s="41">
        <v>729</v>
      </c>
      <c r="AL36" s="41">
        <v>793</v>
      </c>
      <c r="AM36" s="41">
        <v>891</v>
      </c>
      <c r="AN36" s="41">
        <v>934</v>
      </c>
      <c r="AO36" s="41">
        <v>885</v>
      </c>
      <c r="AP36" s="41">
        <v>952</v>
      </c>
      <c r="AQ36" s="41">
        <v>939</v>
      </c>
      <c r="AR36" s="1">
        <v>1007</v>
      </c>
      <c r="AS36" s="1">
        <v>1062</v>
      </c>
      <c r="AT36" s="1">
        <v>1121</v>
      </c>
      <c r="AU36" s="1">
        <v>989</v>
      </c>
      <c r="AV36" s="1">
        <v>1028</v>
      </c>
      <c r="AW36" s="1">
        <v>1007</v>
      </c>
      <c r="AX36" s="1">
        <v>1011</v>
      </c>
      <c r="AY36" s="1">
        <v>1038</v>
      </c>
      <c r="AZ36" s="1">
        <v>1105</v>
      </c>
    </row>
    <row r="37" spans="1:158">
      <c r="A37" s="42" t="s">
        <v>158</v>
      </c>
      <c r="B37" s="43"/>
      <c r="C37" s="43">
        <v>67</v>
      </c>
      <c r="D37" s="43">
        <v>88</v>
      </c>
      <c r="E37" s="43">
        <v>78</v>
      </c>
      <c r="F37" s="43">
        <v>73</v>
      </c>
      <c r="G37" s="43">
        <v>85</v>
      </c>
      <c r="H37" s="43">
        <v>78</v>
      </c>
      <c r="I37" s="43">
        <v>57</v>
      </c>
      <c r="J37" s="43">
        <v>69</v>
      </c>
      <c r="K37" s="43">
        <v>58</v>
      </c>
      <c r="L37" s="43">
        <v>55</v>
      </c>
      <c r="M37" s="43">
        <v>76</v>
      </c>
      <c r="N37" s="43">
        <v>78</v>
      </c>
      <c r="O37" s="43">
        <v>64</v>
      </c>
      <c r="P37" s="43">
        <v>49</v>
      </c>
      <c r="Q37" s="43">
        <v>55</v>
      </c>
      <c r="R37" s="43">
        <v>122</v>
      </c>
      <c r="S37" s="43">
        <v>75</v>
      </c>
      <c r="T37" s="43">
        <v>68</v>
      </c>
      <c r="U37" s="43">
        <v>73</v>
      </c>
      <c r="V37" s="43">
        <v>73</v>
      </c>
      <c r="W37" s="43">
        <v>58</v>
      </c>
      <c r="X37" s="43">
        <v>67</v>
      </c>
      <c r="Y37" s="43">
        <v>50</v>
      </c>
      <c r="Z37" s="43">
        <v>50</v>
      </c>
      <c r="AA37" s="43">
        <v>73</v>
      </c>
      <c r="AB37" s="43">
        <v>63</v>
      </c>
      <c r="AC37" s="43">
        <v>78</v>
      </c>
      <c r="AD37" s="43">
        <v>79</v>
      </c>
      <c r="AE37" s="43">
        <v>64</v>
      </c>
      <c r="AF37" s="43">
        <v>63</v>
      </c>
      <c r="AG37" s="43">
        <v>73</v>
      </c>
      <c r="AH37" s="43">
        <v>70</v>
      </c>
      <c r="AI37" s="43">
        <v>55</v>
      </c>
      <c r="AJ37" s="43">
        <v>56</v>
      </c>
      <c r="AK37" s="43">
        <v>42</v>
      </c>
      <c r="AL37" s="43">
        <v>52</v>
      </c>
      <c r="AM37" s="43">
        <v>59</v>
      </c>
      <c r="AN37" s="43">
        <v>61</v>
      </c>
      <c r="AO37" s="43">
        <v>74</v>
      </c>
      <c r="AP37" s="43">
        <v>69</v>
      </c>
      <c r="AQ37" s="43">
        <v>69</v>
      </c>
      <c r="AR37" s="1">
        <v>65</v>
      </c>
      <c r="AS37" s="1">
        <v>72</v>
      </c>
      <c r="AT37" s="1">
        <v>81</v>
      </c>
      <c r="AU37" s="1">
        <v>107</v>
      </c>
      <c r="AV37" s="1">
        <v>93</v>
      </c>
      <c r="AW37" s="1">
        <v>99</v>
      </c>
      <c r="AX37" s="1">
        <v>106</v>
      </c>
      <c r="AY37" s="1">
        <v>113</v>
      </c>
      <c r="AZ37" s="1">
        <v>106</v>
      </c>
    </row>
    <row r="38" spans="1:158">
      <c r="A38" s="37" t="s">
        <v>211</v>
      </c>
      <c r="B38" s="38">
        <f t="shared" ref="B38:AP38" si="72">SUM(B40:B51)</f>
        <v>0</v>
      </c>
      <c r="C38" s="38">
        <f t="shared" si="72"/>
        <v>9517</v>
      </c>
      <c r="D38" s="38">
        <f t="shared" si="72"/>
        <v>10353</v>
      </c>
      <c r="E38" s="38">
        <f t="shared" si="72"/>
        <v>10205</v>
      </c>
      <c r="F38" s="38">
        <f t="shared" si="72"/>
        <v>10412</v>
      </c>
      <c r="G38" s="38">
        <f t="shared" si="72"/>
        <v>10109</v>
      </c>
      <c r="H38" s="38">
        <f t="shared" si="72"/>
        <v>10133</v>
      </c>
      <c r="I38" s="38">
        <f t="shared" si="72"/>
        <v>9720</v>
      </c>
      <c r="J38" s="38">
        <f t="shared" si="72"/>
        <v>9391</v>
      </c>
      <c r="K38" s="38">
        <f t="shared" si="72"/>
        <v>8976</v>
      </c>
      <c r="L38" s="38">
        <f t="shared" si="72"/>
        <v>9158</v>
      </c>
      <c r="M38" s="38">
        <f t="shared" si="72"/>
        <v>8890</v>
      </c>
      <c r="N38" s="38">
        <f t="shared" si="72"/>
        <v>8989</v>
      </c>
      <c r="O38" s="38">
        <f t="shared" si="72"/>
        <v>9011</v>
      </c>
      <c r="P38" s="38">
        <f t="shared" si="72"/>
        <v>8722</v>
      </c>
      <c r="Q38" s="38">
        <f t="shared" si="72"/>
        <v>8993</v>
      </c>
      <c r="R38" s="38">
        <f t="shared" si="72"/>
        <v>8970</v>
      </c>
      <c r="S38" s="38">
        <f t="shared" si="72"/>
        <v>8847</v>
      </c>
      <c r="T38" s="38">
        <f t="shared" si="72"/>
        <v>9176</v>
      </c>
      <c r="U38" s="38">
        <f t="shared" si="72"/>
        <v>9087</v>
      </c>
      <c r="V38" s="38">
        <f t="shared" si="72"/>
        <v>9393</v>
      </c>
      <c r="W38" s="38">
        <f t="shared" si="72"/>
        <v>9997</v>
      </c>
      <c r="X38" s="38">
        <f t="shared" si="72"/>
        <v>10447</v>
      </c>
      <c r="Y38" s="38">
        <f t="shared" si="72"/>
        <v>10808</v>
      </c>
      <c r="Z38" s="38">
        <f t="shared" si="72"/>
        <v>10864</v>
      </c>
      <c r="AA38" s="38">
        <f t="shared" si="72"/>
        <v>11438</v>
      </c>
      <c r="AB38" s="38">
        <f t="shared" si="72"/>
        <v>11794</v>
      </c>
      <c r="AC38" s="38">
        <f t="shared" si="72"/>
        <v>11930</v>
      </c>
      <c r="AD38" s="38">
        <f t="shared" si="72"/>
        <v>11942</v>
      </c>
      <c r="AE38" s="38">
        <f t="shared" si="72"/>
        <v>12050</v>
      </c>
      <c r="AF38" s="38">
        <f t="shared" si="72"/>
        <v>11192</v>
      </c>
      <c r="AG38" s="38">
        <f t="shared" si="72"/>
        <v>11361</v>
      </c>
      <c r="AH38" s="38">
        <f t="shared" si="72"/>
        <v>11558</v>
      </c>
      <c r="AI38" s="38">
        <f t="shared" si="72"/>
        <v>11113</v>
      </c>
      <c r="AJ38" s="38">
        <f t="shared" si="72"/>
        <v>11583</v>
      </c>
      <c r="AK38" s="38">
        <f t="shared" si="72"/>
        <v>11700</v>
      </c>
      <c r="AL38" s="38">
        <f t="shared" si="72"/>
        <v>13113</v>
      </c>
      <c r="AM38" s="38">
        <f t="shared" si="72"/>
        <v>13963</v>
      </c>
      <c r="AN38" s="38">
        <f t="shared" si="72"/>
        <v>15413</v>
      </c>
      <c r="AO38" s="38">
        <f t="shared" si="72"/>
        <v>15420</v>
      </c>
      <c r="AP38" s="38">
        <f t="shared" si="72"/>
        <v>15065</v>
      </c>
      <c r="AQ38" s="38">
        <f t="shared" ref="AQ38:AR38" si="73">SUM(AQ40:AQ51)</f>
        <v>14220</v>
      </c>
      <c r="AR38" s="38">
        <f t="shared" si="73"/>
        <v>13896</v>
      </c>
      <c r="AS38" s="38">
        <f t="shared" ref="AS38:AT38" si="74">SUM(AS40:AS51)</f>
        <v>13555</v>
      </c>
      <c r="AT38" s="38">
        <f t="shared" si="74"/>
        <v>14144</v>
      </c>
      <c r="AU38" s="38">
        <f t="shared" ref="AU38:AV38" si="75">SUM(AU40:AU51)</f>
        <v>14554</v>
      </c>
      <c r="AV38" s="38">
        <f t="shared" si="75"/>
        <v>15075</v>
      </c>
      <c r="AW38" s="38">
        <f t="shared" ref="AW38:AX38" si="76">SUM(AW40:AW51)</f>
        <v>15020</v>
      </c>
      <c r="AX38" s="38">
        <f t="shared" si="76"/>
        <v>15310</v>
      </c>
      <c r="AY38" s="38">
        <f t="shared" ref="AY38:AZ38" si="77">SUM(AY40:AY51)</f>
        <v>15430</v>
      </c>
      <c r="AZ38" s="38">
        <f t="shared" si="77"/>
        <v>15474</v>
      </c>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row>
    <row r="39" spans="1:158">
      <c r="A39" s="39" t="s">
        <v>213</v>
      </c>
      <c r="B39" s="40">
        <f t="shared" ref="B39:AP39" si="78">(B38/B4)*100</f>
        <v>0</v>
      </c>
      <c r="C39" s="40">
        <f t="shared" si="78"/>
        <v>31.878475246198164</v>
      </c>
      <c r="D39" s="40">
        <f t="shared" si="78"/>
        <v>32.264397905759161</v>
      </c>
      <c r="E39" s="40">
        <f t="shared" si="78"/>
        <v>30.597865195490527</v>
      </c>
      <c r="F39" s="40">
        <f t="shared" si="78"/>
        <v>29.947077772664521</v>
      </c>
      <c r="G39" s="40">
        <f t="shared" si="78"/>
        <v>29.910053849340194</v>
      </c>
      <c r="H39" s="40">
        <f t="shared" si="78"/>
        <v>29.745200493160333</v>
      </c>
      <c r="I39" s="40">
        <f t="shared" si="78"/>
        <v>28.558836491846627</v>
      </c>
      <c r="J39" s="40">
        <f t="shared" si="78"/>
        <v>28.271668121744892</v>
      </c>
      <c r="K39" s="40">
        <f t="shared" si="78"/>
        <v>27.943465537637756</v>
      </c>
      <c r="L39" s="40">
        <f t="shared" si="78"/>
        <v>27.993275255998778</v>
      </c>
      <c r="M39" s="40">
        <f t="shared" si="78"/>
        <v>27.269938650306745</v>
      </c>
      <c r="N39" s="40">
        <f t="shared" si="78"/>
        <v>27.284040551205003</v>
      </c>
      <c r="O39" s="40">
        <f t="shared" si="78"/>
        <v>27.565004588559194</v>
      </c>
      <c r="P39" s="40">
        <f t="shared" si="78"/>
        <v>26.622306330504852</v>
      </c>
      <c r="Q39" s="40">
        <f t="shared" si="78"/>
        <v>27.096327096327094</v>
      </c>
      <c r="R39" s="40">
        <f t="shared" si="78"/>
        <v>27.247045958506728</v>
      </c>
      <c r="S39" s="40">
        <f t="shared" si="78"/>
        <v>26.304522344126301</v>
      </c>
      <c r="T39" s="40">
        <f t="shared" si="78"/>
        <v>26.974747920157565</v>
      </c>
      <c r="U39" s="40">
        <f t="shared" si="78"/>
        <v>26.102318099560506</v>
      </c>
      <c r="V39" s="40">
        <f t="shared" si="78"/>
        <v>26.280006714789323</v>
      </c>
      <c r="W39" s="40">
        <f t="shared" si="78"/>
        <v>26.069835971523197</v>
      </c>
      <c r="X39" s="40">
        <f t="shared" si="78"/>
        <v>26.605037308681588</v>
      </c>
      <c r="Y39" s="40">
        <f t="shared" si="78"/>
        <v>26.593179469514293</v>
      </c>
      <c r="Z39" s="40">
        <f t="shared" si="78"/>
        <v>25.8046127170376</v>
      </c>
      <c r="AA39" s="40">
        <f t="shared" si="78"/>
        <v>26.50998933852501</v>
      </c>
      <c r="AB39" s="40">
        <f t="shared" si="78"/>
        <v>26.561866582586369</v>
      </c>
      <c r="AC39" s="40">
        <f t="shared" si="78"/>
        <v>26.752477911826706</v>
      </c>
      <c r="AD39" s="40">
        <f t="shared" si="78"/>
        <v>26.053756872327426</v>
      </c>
      <c r="AE39" s="40">
        <f t="shared" si="78"/>
        <v>26.189958704629429</v>
      </c>
      <c r="AF39" s="40">
        <f t="shared" si="78"/>
        <v>25.391927762778771</v>
      </c>
      <c r="AG39" s="40">
        <f t="shared" si="78"/>
        <v>25.354847348687738</v>
      </c>
      <c r="AH39" s="40">
        <f t="shared" si="78"/>
        <v>25.739355068590768</v>
      </c>
      <c r="AI39" s="40">
        <f t="shared" si="78"/>
        <v>25.165307971014496</v>
      </c>
      <c r="AJ39" s="40">
        <f t="shared" si="78"/>
        <v>25.157464923330874</v>
      </c>
      <c r="AK39" s="40">
        <f t="shared" si="78"/>
        <v>24.197050855169273</v>
      </c>
      <c r="AL39" s="40">
        <f t="shared" si="78"/>
        <v>24.914974064714713</v>
      </c>
      <c r="AM39" s="40">
        <f t="shared" si="78"/>
        <v>25.004924696907288</v>
      </c>
      <c r="AN39" s="40">
        <f t="shared" si="78"/>
        <v>25.427279926092123</v>
      </c>
      <c r="AO39" s="40">
        <f t="shared" si="78"/>
        <v>25.143080761140734</v>
      </c>
      <c r="AP39" s="40">
        <f t="shared" si="78"/>
        <v>24.528240446767288</v>
      </c>
      <c r="AQ39" s="40">
        <f t="shared" ref="AQ39:AR39" si="79">(AQ38/AQ4)*100</f>
        <v>24.893214760871089</v>
      </c>
      <c r="AR39" s="40">
        <f t="shared" si="79"/>
        <v>23.885728036853052</v>
      </c>
      <c r="AS39" s="40">
        <f t="shared" ref="AS39:AT39" si="80">(AS38/AS4)*100</f>
        <v>22.548073724133342</v>
      </c>
      <c r="AT39" s="40">
        <f t="shared" si="80"/>
        <v>22.701227830832195</v>
      </c>
      <c r="AU39" s="40">
        <f t="shared" ref="AU39:AV39" si="81">(AU38/AU4)*100</f>
        <v>22.611316533573625</v>
      </c>
      <c r="AV39" s="40">
        <f t="shared" si="81"/>
        <v>22.919390640678689</v>
      </c>
      <c r="AW39" s="40">
        <f t="shared" ref="AW39:AX39" si="82">(AW38/AW4)*100</f>
        <v>22.804566986517671</v>
      </c>
      <c r="AX39" s="40">
        <f t="shared" si="82"/>
        <v>22.797325669699362</v>
      </c>
      <c r="AY39" s="40">
        <f t="shared" ref="AY39:AZ39" si="83">(AY38/AY4)*100</f>
        <v>22.516015117687402</v>
      </c>
      <c r="AZ39" s="40">
        <f t="shared" si="83"/>
        <v>22.202772118116336</v>
      </c>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row>
    <row r="40" spans="1:158">
      <c r="A40" s="37" t="s">
        <v>134</v>
      </c>
      <c r="B40" s="41"/>
      <c r="C40" s="41">
        <v>1887</v>
      </c>
      <c r="D40" s="41">
        <v>2086</v>
      </c>
      <c r="E40" s="41">
        <v>2142</v>
      </c>
      <c r="F40" s="41">
        <v>2229</v>
      </c>
      <c r="G40" s="41">
        <v>2165</v>
      </c>
      <c r="H40" s="41">
        <v>2131</v>
      </c>
      <c r="I40" s="41">
        <v>2025</v>
      </c>
      <c r="J40" s="41">
        <v>2061</v>
      </c>
      <c r="K40" s="41">
        <v>1874</v>
      </c>
      <c r="L40" s="41">
        <v>1943</v>
      </c>
      <c r="M40" s="41">
        <v>1872</v>
      </c>
      <c r="N40" s="41">
        <v>2043</v>
      </c>
      <c r="O40" s="41">
        <v>1932</v>
      </c>
      <c r="P40" s="41">
        <v>1896</v>
      </c>
      <c r="Q40" s="41">
        <v>1910</v>
      </c>
      <c r="R40" s="41">
        <v>2027</v>
      </c>
      <c r="S40" s="41">
        <v>2007</v>
      </c>
      <c r="T40" s="41">
        <v>2062</v>
      </c>
      <c r="U40" s="41">
        <v>2152</v>
      </c>
      <c r="V40" s="41">
        <v>2176</v>
      </c>
      <c r="W40" s="41">
        <v>2409</v>
      </c>
      <c r="X40" s="41">
        <v>2449</v>
      </c>
      <c r="Y40" s="41">
        <v>2581</v>
      </c>
      <c r="Z40" s="41">
        <v>2601</v>
      </c>
      <c r="AA40" s="41">
        <v>2592</v>
      </c>
      <c r="AB40" s="41">
        <v>2850</v>
      </c>
      <c r="AC40" s="41">
        <v>2573</v>
      </c>
      <c r="AD40" s="41">
        <v>2665</v>
      </c>
      <c r="AE40" s="41">
        <v>2690</v>
      </c>
      <c r="AF40" s="41">
        <v>2624</v>
      </c>
      <c r="AG40" s="41">
        <v>2498</v>
      </c>
      <c r="AH40" s="41">
        <v>2671</v>
      </c>
      <c r="AI40" s="41">
        <v>2535</v>
      </c>
      <c r="AJ40" s="41">
        <v>2585</v>
      </c>
      <c r="AK40" s="41">
        <v>2498</v>
      </c>
      <c r="AL40" s="41">
        <v>2752</v>
      </c>
      <c r="AM40" s="41">
        <v>2853</v>
      </c>
      <c r="AN40" s="41">
        <v>3028</v>
      </c>
      <c r="AO40" s="41">
        <v>3024</v>
      </c>
      <c r="AP40" s="41">
        <v>2786</v>
      </c>
      <c r="AQ40" s="41">
        <v>2567</v>
      </c>
      <c r="AR40" s="1">
        <v>2734</v>
      </c>
      <c r="AS40" s="1">
        <v>2851</v>
      </c>
      <c r="AT40" s="1">
        <v>3060</v>
      </c>
      <c r="AU40" s="1">
        <v>2941</v>
      </c>
      <c r="AV40" s="1">
        <v>3081</v>
      </c>
      <c r="AW40" s="1">
        <v>3054</v>
      </c>
      <c r="AX40" s="1">
        <v>3094</v>
      </c>
      <c r="AY40" s="1">
        <v>3062</v>
      </c>
      <c r="AZ40" s="1">
        <v>3150</v>
      </c>
    </row>
    <row r="41" spans="1:158">
      <c r="A41" s="37" t="s">
        <v>135</v>
      </c>
      <c r="B41" s="41"/>
      <c r="C41" s="41">
        <v>1313</v>
      </c>
      <c r="D41" s="41">
        <v>1355</v>
      </c>
      <c r="E41" s="41">
        <v>1316</v>
      </c>
      <c r="F41" s="41">
        <v>1260</v>
      </c>
      <c r="G41" s="41">
        <v>1298</v>
      </c>
      <c r="H41" s="41">
        <v>1300</v>
      </c>
      <c r="I41" s="41">
        <v>1208</v>
      </c>
      <c r="J41" s="41">
        <v>1089</v>
      </c>
      <c r="K41" s="41">
        <v>1015</v>
      </c>
      <c r="L41" s="41">
        <v>1030</v>
      </c>
      <c r="M41" s="41">
        <v>1036</v>
      </c>
      <c r="N41" s="41">
        <v>1045</v>
      </c>
      <c r="O41" s="41">
        <v>1000</v>
      </c>
      <c r="P41" s="41">
        <v>1035</v>
      </c>
      <c r="Q41" s="41">
        <v>1006</v>
      </c>
      <c r="R41" s="41">
        <v>1022</v>
      </c>
      <c r="S41" s="41">
        <v>974</v>
      </c>
      <c r="T41" s="41">
        <v>967</v>
      </c>
      <c r="U41" s="41">
        <v>941</v>
      </c>
      <c r="V41" s="41">
        <v>962</v>
      </c>
      <c r="W41" s="41">
        <v>1040</v>
      </c>
      <c r="X41" s="41">
        <v>1028</v>
      </c>
      <c r="Y41" s="41">
        <v>1114</v>
      </c>
      <c r="Z41" s="41">
        <v>1107</v>
      </c>
      <c r="AA41" s="41">
        <v>1103</v>
      </c>
      <c r="AB41" s="41">
        <v>1152</v>
      </c>
      <c r="AC41" s="41">
        <v>1176</v>
      </c>
      <c r="AD41" s="41">
        <v>1121</v>
      </c>
      <c r="AE41" s="41">
        <v>1115</v>
      </c>
      <c r="AF41" s="41">
        <v>1112</v>
      </c>
      <c r="AG41" s="41">
        <v>1215</v>
      </c>
      <c r="AH41" s="41">
        <v>1179</v>
      </c>
      <c r="AI41" s="41">
        <v>1022</v>
      </c>
      <c r="AJ41" s="41">
        <v>1147</v>
      </c>
      <c r="AK41" s="41">
        <v>1124</v>
      </c>
      <c r="AL41" s="41">
        <v>1306</v>
      </c>
      <c r="AM41" s="41">
        <v>1421</v>
      </c>
      <c r="AN41" s="41">
        <v>1472</v>
      </c>
      <c r="AO41" s="41">
        <v>1439</v>
      </c>
      <c r="AP41" s="41">
        <v>1525</v>
      </c>
      <c r="AQ41" s="41">
        <v>1414</v>
      </c>
      <c r="AR41" s="1">
        <v>1438</v>
      </c>
      <c r="AS41" s="1">
        <v>1517</v>
      </c>
      <c r="AT41" s="1">
        <v>1593</v>
      </c>
      <c r="AU41" s="1">
        <v>1647</v>
      </c>
      <c r="AV41" s="1">
        <v>1752</v>
      </c>
      <c r="AW41" s="1">
        <v>1686</v>
      </c>
      <c r="AX41" s="1">
        <v>1756</v>
      </c>
      <c r="AY41" s="1">
        <v>1819</v>
      </c>
      <c r="AZ41" s="1">
        <v>1744</v>
      </c>
    </row>
    <row r="42" spans="1:158">
      <c r="A42" s="37" t="s">
        <v>132</v>
      </c>
      <c r="B42" s="41"/>
      <c r="C42" s="41">
        <v>617</v>
      </c>
      <c r="D42" s="41">
        <v>702</v>
      </c>
      <c r="E42" s="41">
        <v>625</v>
      </c>
      <c r="F42" s="41">
        <v>643</v>
      </c>
      <c r="G42" s="41">
        <v>565</v>
      </c>
      <c r="H42" s="41">
        <v>551</v>
      </c>
      <c r="I42" s="41">
        <v>568</v>
      </c>
      <c r="J42" s="41">
        <v>520</v>
      </c>
      <c r="K42" s="41">
        <v>515</v>
      </c>
      <c r="L42" s="41">
        <v>552</v>
      </c>
      <c r="M42" s="41">
        <v>532</v>
      </c>
      <c r="N42" s="41">
        <v>557</v>
      </c>
      <c r="O42" s="41">
        <v>582</v>
      </c>
      <c r="P42" s="41">
        <v>489</v>
      </c>
      <c r="Q42" s="41">
        <v>552</v>
      </c>
      <c r="R42" s="41">
        <v>558</v>
      </c>
      <c r="S42" s="41">
        <v>537</v>
      </c>
      <c r="T42" s="41">
        <v>608</v>
      </c>
      <c r="U42" s="41">
        <v>658</v>
      </c>
      <c r="V42" s="41">
        <v>574</v>
      </c>
      <c r="W42" s="41">
        <v>604</v>
      </c>
      <c r="X42" s="41">
        <v>694</v>
      </c>
      <c r="Y42" s="41">
        <v>698</v>
      </c>
      <c r="Z42" s="41">
        <v>683</v>
      </c>
      <c r="AA42" s="41">
        <v>689</v>
      </c>
      <c r="AB42" s="41">
        <v>686</v>
      </c>
      <c r="AC42" s="41">
        <v>708</v>
      </c>
      <c r="AD42" s="41">
        <v>647</v>
      </c>
      <c r="AE42" s="41">
        <v>648</v>
      </c>
      <c r="AF42" s="41">
        <v>587</v>
      </c>
      <c r="AG42" s="41">
        <v>569</v>
      </c>
      <c r="AH42" s="41">
        <v>617</v>
      </c>
      <c r="AI42" s="41">
        <v>579</v>
      </c>
      <c r="AJ42" s="41">
        <v>506</v>
      </c>
      <c r="AK42" s="41">
        <v>606</v>
      </c>
      <c r="AL42" s="41">
        <v>672</v>
      </c>
      <c r="AM42" s="41">
        <v>804</v>
      </c>
      <c r="AN42" s="41">
        <v>878</v>
      </c>
      <c r="AO42" s="41">
        <v>889</v>
      </c>
      <c r="AP42" s="41">
        <v>912</v>
      </c>
      <c r="AQ42" s="41">
        <v>711</v>
      </c>
      <c r="AR42" s="1">
        <v>806</v>
      </c>
      <c r="AS42" s="1">
        <v>837</v>
      </c>
      <c r="AT42" s="1">
        <v>907</v>
      </c>
      <c r="AU42" s="1">
        <v>857</v>
      </c>
      <c r="AV42" s="1">
        <v>789</v>
      </c>
      <c r="AW42" s="1">
        <v>801</v>
      </c>
      <c r="AX42" s="1">
        <v>830</v>
      </c>
      <c r="AY42" s="1">
        <v>885</v>
      </c>
      <c r="AZ42" s="1">
        <v>845</v>
      </c>
    </row>
    <row r="43" spans="1:158">
      <c r="A43" s="37" t="s">
        <v>136</v>
      </c>
      <c r="B43" s="41"/>
      <c r="C43" s="41">
        <v>389</v>
      </c>
      <c r="D43" s="41">
        <v>387</v>
      </c>
      <c r="E43" s="41">
        <v>382</v>
      </c>
      <c r="F43" s="41">
        <v>412</v>
      </c>
      <c r="G43" s="41">
        <v>447</v>
      </c>
      <c r="H43" s="41">
        <v>448</v>
      </c>
      <c r="I43" s="41">
        <v>385</v>
      </c>
      <c r="J43" s="41">
        <v>370</v>
      </c>
      <c r="K43" s="41">
        <v>480</v>
      </c>
      <c r="L43" s="41">
        <v>384</v>
      </c>
      <c r="M43" s="41">
        <v>388</v>
      </c>
      <c r="N43" s="41">
        <v>369</v>
      </c>
      <c r="O43" s="41">
        <v>389</v>
      </c>
      <c r="P43" s="41">
        <v>360</v>
      </c>
      <c r="Q43" s="41">
        <v>380</v>
      </c>
      <c r="R43" s="41">
        <v>456</v>
      </c>
      <c r="S43" s="41">
        <v>351</v>
      </c>
      <c r="T43" s="41">
        <v>389</v>
      </c>
      <c r="U43" s="41">
        <v>376</v>
      </c>
      <c r="V43" s="41">
        <v>379</v>
      </c>
      <c r="W43" s="41">
        <v>346</v>
      </c>
      <c r="X43" s="41">
        <v>369</v>
      </c>
      <c r="Y43" s="41">
        <v>447</v>
      </c>
      <c r="Z43" s="41">
        <v>387</v>
      </c>
      <c r="AA43" s="41">
        <v>415</v>
      </c>
      <c r="AB43" s="41">
        <v>450</v>
      </c>
      <c r="AC43" s="41">
        <v>470</v>
      </c>
      <c r="AD43" s="41">
        <v>471</v>
      </c>
      <c r="AE43" s="41">
        <v>487</v>
      </c>
      <c r="AF43" s="41">
        <v>436</v>
      </c>
      <c r="AG43" s="41">
        <v>418</v>
      </c>
      <c r="AH43" s="41">
        <v>426</v>
      </c>
      <c r="AI43" s="41">
        <v>416</v>
      </c>
      <c r="AJ43" s="41">
        <v>414</v>
      </c>
      <c r="AK43" s="41">
        <v>433</v>
      </c>
      <c r="AL43" s="41">
        <v>413</v>
      </c>
      <c r="AM43" s="41">
        <v>486</v>
      </c>
      <c r="AN43" s="41">
        <v>503</v>
      </c>
      <c r="AO43" s="41">
        <v>540</v>
      </c>
      <c r="AP43" s="41">
        <v>454</v>
      </c>
      <c r="AQ43" s="41">
        <v>485</v>
      </c>
      <c r="AR43" s="1">
        <v>544</v>
      </c>
      <c r="AS43" s="1">
        <v>514</v>
      </c>
      <c r="AT43" s="1">
        <v>586</v>
      </c>
      <c r="AU43" s="1">
        <v>550</v>
      </c>
      <c r="AV43" s="1">
        <v>654</v>
      </c>
      <c r="AW43" s="1">
        <v>599</v>
      </c>
      <c r="AX43" s="1">
        <v>637</v>
      </c>
      <c r="AY43" s="1">
        <v>639</v>
      </c>
      <c r="AZ43" s="1">
        <v>658</v>
      </c>
    </row>
    <row r="44" spans="1:158">
      <c r="A44" s="37" t="s">
        <v>139</v>
      </c>
      <c r="B44" s="41"/>
      <c r="C44" s="41">
        <v>1577</v>
      </c>
      <c r="D44" s="41">
        <v>1793</v>
      </c>
      <c r="E44" s="41">
        <v>1710</v>
      </c>
      <c r="F44" s="41">
        <v>1758</v>
      </c>
      <c r="G44" s="41">
        <v>1582</v>
      </c>
      <c r="H44" s="41">
        <v>1635</v>
      </c>
      <c r="I44" s="41">
        <v>1498</v>
      </c>
      <c r="J44" s="41">
        <v>1504</v>
      </c>
      <c r="K44" s="41">
        <v>1338</v>
      </c>
      <c r="L44" s="41">
        <v>1417</v>
      </c>
      <c r="M44" s="41">
        <v>1334</v>
      </c>
      <c r="N44" s="41">
        <v>1310</v>
      </c>
      <c r="O44" s="41">
        <v>1438</v>
      </c>
      <c r="P44" s="41">
        <v>1383</v>
      </c>
      <c r="Q44" s="41">
        <v>1387</v>
      </c>
      <c r="R44" s="41">
        <v>1259</v>
      </c>
      <c r="S44" s="41">
        <v>1289</v>
      </c>
      <c r="T44" s="41">
        <v>1321</v>
      </c>
      <c r="U44" s="41">
        <v>1238</v>
      </c>
      <c r="V44" s="41">
        <v>1333</v>
      </c>
      <c r="W44" s="41">
        <v>1313</v>
      </c>
      <c r="X44" s="41">
        <v>1487</v>
      </c>
      <c r="Y44" s="41">
        <v>1549</v>
      </c>
      <c r="Z44" s="41">
        <v>1513</v>
      </c>
      <c r="AA44" s="41">
        <v>1483</v>
      </c>
      <c r="AB44" s="41">
        <v>1548</v>
      </c>
      <c r="AC44" s="41">
        <v>1598</v>
      </c>
      <c r="AD44" s="41">
        <v>1492</v>
      </c>
      <c r="AE44" s="41">
        <v>1565</v>
      </c>
      <c r="AF44" s="41">
        <v>1431</v>
      </c>
      <c r="AG44" s="41">
        <v>1496</v>
      </c>
      <c r="AH44" s="41">
        <v>1403</v>
      </c>
      <c r="AI44" s="41">
        <v>1497</v>
      </c>
      <c r="AJ44" s="41">
        <v>1525</v>
      </c>
      <c r="AK44" s="41">
        <v>1559</v>
      </c>
      <c r="AL44" s="41">
        <v>1634</v>
      </c>
      <c r="AM44" s="41">
        <v>1811</v>
      </c>
      <c r="AN44" s="41">
        <v>1960</v>
      </c>
      <c r="AO44" s="41">
        <v>1798</v>
      </c>
      <c r="AP44" s="41">
        <v>1971</v>
      </c>
      <c r="AQ44" s="41">
        <v>1840</v>
      </c>
      <c r="AR44" s="1">
        <v>1871</v>
      </c>
      <c r="AS44" s="1">
        <v>1979</v>
      </c>
      <c r="AT44" s="1">
        <v>2000</v>
      </c>
      <c r="AU44" s="1">
        <v>2188</v>
      </c>
      <c r="AV44" s="1">
        <v>2154</v>
      </c>
      <c r="AW44" s="1">
        <v>2091</v>
      </c>
      <c r="AX44" s="1">
        <v>2129</v>
      </c>
      <c r="AY44" s="1">
        <v>2161</v>
      </c>
      <c r="AZ44" s="1">
        <v>2140</v>
      </c>
    </row>
    <row r="45" spans="1:158">
      <c r="A45" s="37" t="s">
        <v>140</v>
      </c>
      <c r="B45" s="41"/>
      <c r="C45" s="41">
        <v>546</v>
      </c>
      <c r="D45" s="41">
        <v>613</v>
      </c>
      <c r="E45" s="41">
        <v>599</v>
      </c>
      <c r="F45" s="41">
        <v>557</v>
      </c>
      <c r="G45" s="41">
        <v>575</v>
      </c>
      <c r="H45" s="41">
        <v>540</v>
      </c>
      <c r="I45" s="41">
        <v>497</v>
      </c>
      <c r="J45" s="41">
        <v>519</v>
      </c>
      <c r="K45" s="41">
        <v>501</v>
      </c>
      <c r="L45" s="41">
        <v>474</v>
      </c>
      <c r="M45" s="41">
        <v>503</v>
      </c>
      <c r="N45" s="41">
        <v>535</v>
      </c>
      <c r="O45" s="41">
        <v>479</v>
      </c>
      <c r="P45" s="41">
        <v>487</v>
      </c>
      <c r="Q45" s="41">
        <v>593</v>
      </c>
      <c r="R45" s="41">
        <v>529</v>
      </c>
      <c r="S45" s="41">
        <v>577</v>
      </c>
      <c r="T45" s="41">
        <v>529</v>
      </c>
      <c r="U45" s="41">
        <v>549</v>
      </c>
      <c r="V45" s="41">
        <v>568</v>
      </c>
      <c r="W45" s="41">
        <v>750</v>
      </c>
      <c r="X45" s="41">
        <v>823</v>
      </c>
      <c r="Y45" s="41">
        <v>684</v>
      </c>
      <c r="Z45" s="41">
        <v>674</v>
      </c>
      <c r="AA45" s="41">
        <v>917</v>
      </c>
      <c r="AB45" s="41">
        <v>889</v>
      </c>
      <c r="AC45" s="41">
        <v>1037</v>
      </c>
      <c r="AD45" s="41">
        <v>932</v>
      </c>
      <c r="AE45" s="41">
        <v>943</v>
      </c>
      <c r="AF45" s="41">
        <v>891</v>
      </c>
      <c r="AG45" s="41">
        <v>867</v>
      </c>
      <c r="AH45" s="41">
        <v>975</v>
      </c>
      <c r="AI45" s="41">
        <v>873</v>
      </c>
      <c r="AJ45" s="41">
        <v>941</v>
      </c>
      <c r="AK45" s="41">
        <v>1032</v>
      </c>
      <c r="AL45" s="41">
        <v>1239</v>
      </c>
      <c r="AM45" s="41">
        <v>1434</v>
      </c>
      <c r="AN45" s="41">
        <v>1968</v>
      </c>
      <c r="AO45" s="41">
        <v>2003</v>
      </c>
      <c r="AP45" s="41">
        <v>1862</v>
      </c>
      <c r="AQ45" s="41">
        <v>2162</v>
      </c>
      <c r="AR45" s="1">
        <v>1690</v>
      </c>
      <c r="AS45" s="1">
        <v>865</v>
      </c>
      <c r="AT45" s="1">
        <v>944</v>
      </c>
      <c r="AU45" s="1">
        <v>932</v>
      </c>
      <c r="AV45" s="1">
        <v>948</v>
      </c>
      <c r="AW45" s="1">
        <v>1003</v>
      </c>
      <c r="AX45" s="1">
        <v>935</v>
      </c>
      <c r="AY45" s="1">
        <v>928</v>
      </c>
      <c r="AZ45" s="1">
        <v>992</v>
      </c>
    </row>
    <row r="46" spans="1:158">
      <c r="A46" s="37" t="s">
        <v>141</v>
      </c>
      <c r="B46" s="41"/>
      <c r="C46" s="41">
        <v>630</v>
      </c>
      <c r="D46" s="41">
        <v>645</v>
      </c>
      <c r="E46" s="41">
        <v>751</v>
      </c>
      <c r="F46" s="41">
        <v>762</v>
      </c>
      <c r="G46" s="41">
        <v>706</v>
      </c>
      <c r="H46" s="41">
        <v>704</v>
      </c>
      <c r="I46" s="41">
        <v>686</v>
      </c>
      <c r="J46" s="41">
        <v>689</v>
      </c>
      <c r="K46" s="41">
        <v>593</v>
      </c>
      <c r="L46" s="41">
        <v>688</v>
      </c>
      <c r="M46" s="41">
        <v>637</v>
      </c>
      <c r="N46" s="41">
        <v>578</v>
      </c>
      <c r="O46" s="41">
        <v>585</v>
      </c>
      <c r="P46" s="41">
        <v>567</v>
      </c>
      <c r="Q46" s="41">
        <v>632</v>
      </c>
      <c r="R46" s="41">
        <v>566</v>
      </c>
      <c r="S46" s="41">
        <v>579</v>
      </c>
      <c r="T46" s="41">
        <v>545</v>
      </c>
      <c r="U46" s="41">
        <v>537</v>
      </c>
      <c r="V46" s="41">
        <v>621</v>
      </c>
      <c r="W46" s="41">
        <v>619</v>
      </c>
      <c r="X46" s="41">
        <v>643</v>
      </c>
      <c r="Y46" s="41">
        <v>764</v>
      </c>
      <c r="Z46" s="41">
        <v>711</v>
      </c>
      <c r="AA46" s="41">
        <v>778</v>
      </c>
      <c r="AB46" s="41">
        <v>719</v>
      </c>
      <c r="AC46" s="41">
        <v>785</v>
      </c>
      <c r="AD46" s="41">
        <v>777</v>
      </c>
      <c r="AE46" s="41">
        <v>860</v>
      </c>
      <c r="AF46" s="41">
        <v>730</v>
      </c>
      <c r="AG46" s="41">
        <v>791</v>
      </c>
      <c r="AH46" s="41">
        <v>908</v>
      </c>
      <c r="AI46" s="41">
        <v>953</v>
      </c>
      <c r="AJ46" s="41">
        <v>1182</v>
      </c>
      <c r="AK46" s="41">
        <v>1233</v>
      </c>
      <c r="AL46" s="41">
        <v>1363</v>
      </c>
      <c r="AM46" s="41">
        <v>1462</v>
      </c>
      <c r="AN46" s="41">
        <v>1573</v>
      </c>
      <c r="AO46" s="41">
        <v>1609</v>
      </c>
      <c r="AP46" s="41">
        <v>1584</v>
      </c>
      <c r="AQ46" s="41">
        <v>1171</v>
      </c>
      <c r="AR46" s="1">
        <v>1180</v>
      </c>
      <c r="AS46" s="1">
        <v>1323</v>
      </c>
      <c r="AT46" s="1">
        <v>1295</v>
      </c>
      <c r="AU46" s="1">
        <v>1480</v>
      </c>
      <c r="AV46" s="1">
        <v>1591</v>
      </c>
      <c r="AW46" s="1">
        <v>1583</v>
      </c>
      <c r="AX46" s="1">
        <v>1784</v>
      </c>
      <c r="AY46" s="1">
        <v>1805</v>
      </c>
      <c r="AZ46" s="1">
        <v>1750</v>
      </c>
    </row>
    <row r="47" spans="1:158">
      <c r="A47" s="37" t="s">
        <v>144</v>
      </c>
      <c r="B47" s="41"/>
      <c r="C47" s="41">
        <v>213</v>
      </c>
      <c r="D47" s="41">
        <v>223</v>
      </c>
      <c r="E47" s="41">
        <v>210</v>
      </c>
      <c r="F47" s="41">
        <v>230</v>
      </c>
      <c r="G47" s="41">
        <v>237</v>
      </c>
      <c r="H47" s="41">
        <v>229</v>
      </c>
      <c r="I47" s="41">
        <v>178</v>
      </c>
      <c r="J47" s="41">
        <v>218</v>
      </c>
      <c r="K47" s="41">
        <v>206</v>
      </c>
      <c r="L47" s="41">
        <v>200</v>
      </c>
      <c r="M47" s="41">
        <v>221</v>
      </c>
      <c r="N47" s="41">
        <v>238</v>
      </c>
      <c r="O47" s="41">
        <v>214</v>
      </c>
      <c r="P47" s="41">
        <v>220</v>
      </c>
      <c r="Q47" s="41">
        <v>226</v>
      </c>
      <c r="R47" s="41">
        <v>196</v>
      </c>
      <c r="S47" s="41">
        <v>210</v>
      </c>
      <c r="T47" s="41">
        <v>215</v>
      </c>
      <c r="U47" s="41">
        <v>248</v>
      </c>
      <c r="V47" s="41">
        <v>248</v>
      </c>
      <c r="W47" s="41">
        <v>230</v>
      </c>
      <c r="X47" s="41">
        <v>219</v>
      </c>
      <c r="Y47" s="41">
        <v>236</v>
      </c>
      <c r="Z47" s="41">
        <v>238</v>
      </c>
      <c r="AA47" s="41">
        <v>244</v>
      </c>
      <c r="AB47" s="41">
        <v>255</v>
      </c>
      <c r="AC47" s="41">
        <v>285</v>
      </c>
      <c r="AD47" s="41">
        <v>369</v>
      </c>
      <c r="AE47" s="41">
        <v>429</v>
      </c>
      <c r="AF47" s="41">
        <v>354</v>
      </c>
      <c r="AG47" s="41">
        <v>363</v>
      </c>
      <c r="AH47" s="41">
        <v>340</v>
      </c>
      <c r="AI47" s="41">
        <v>333</v>
      </c>
      <c r="AJ47" s="41">
        <v>434</v>
      </c>
      <c r="AK47" s="41">
        <v>382</v>
      </c>
      <c r="AL47" s="41">
        <v>492</v>
      </c>
      <c r="AM47" s="41">
        <v>414</v>
      </c>
      <c r="AN47" s="41">
        <v>450</v>
      </c>
      <c r="AO47" s="41">
        <v>355</v>
      </c>
      <c r="AP47" s="41">
        <v>376</v>
      </c>
      <c r="AQ47" s="41">
        <v>367</v>
      </c>
      <c r="AR47" s="1">
        <v>370</v>
      </c>
      <c r="AS47" s="1">
        <v>338</v>
      </c>
      <c r="AT47" s="1">
        <v>395</v>
      </c>
      <c r="AU47" s="1">
        <v>407</v>
      </c>
      <c r="AV47" s="1">
        <v>456</v>
      </c>
      <c r="AW47" s="1">
        <v>446</v>
      </c>
      <c r="AX47" s="1">
        <v>454</v>
      </c>
      <c r="AY47" s="1">
        <v>438</v>
      </c>
      <c r="AZ47" s="1">
        <v>479</v>
      </c>
    </row>
    <row r="48" spans="1:158">
      <c r="A48" s="37" t="s">
        <v>143</v>
      </c>
      <c r="B48" s="41"/>
      <c r="C48" s="41">
        <v>86</v>
      </c>
      <c r="D48" s="41">
        <v>118</v>
      </c>
      <c r="E48" s="41">
        <v>83</v>
      </c>
      <c r="F48" s="41">
        <v>90</v>
      </c>
      <c r="G48" s="41">
        <v>82</v>
      </c>
      <c r="H48" s="41">
        <v>67</v>
      </c>
      <c r="I48" s="41">
        <v>66</v>
      </c>
      <c r="J48" s="41">
        <v>66</v>
      </c>
      <c r="K48" s="41">
        <v>47</v>
      </c>
      <c r="L48" s="41">
        <v>69</v>
      </c>
      <c r="M48" s="41">
        <v>83</v>
      </c>
      <c r="N48" s="41">
        <v>69</v>
      </c>
      <c r="O48" s="41">
        <v>47</v>
      </c>
      <c r="P48" s="41">
        <v>49</v>
      </c>
      <c r="Q48" s="41">
        <v>47</v>
      </c>
      <c r="R48" s="41">
        <v>64</v>
      </c>
      <c r="S48" s="41">
        <v>67</v>
      </c>
      <c r="T48" s="41">
        <v>76</v>
      </c>
      <c r="U48" s="41">
        <v>66</v>
      </c>
      <c r="V48" s="41">
        <v>61</v>
      </c>
      <c r="W48" s="41">
        <v>71</v>
      </c>
      <c r="X48" s="41">
        <v>63</v>
      </c>
      <c r="Y48" s="41">
        <v>79</v>
      </c>
      <c r="Z48" s="41">
        <v>74</v>
      </c>
      <c r="AA48" s="41">
        <v>74</v>
      </c>
      <c r="AB48" s="41">
        <v>84</v>
      </c>
      <c r="AC48" s="41">
        <v>79</v>
      </c>
      <c r="AD48" s="41">
        <v>87</v>
      </c>
      <c r="AE48" s="41">
        <v>71</v>
      </c>
      <c r="AF48" s="41">
        <v>68</v>
      </c>
      <c r="AG48" s="41">
        <v>58</v>
      </c>
      <c r="AH48" s="41">
        <v>67</v>
      </c>
      <c r="AI48" s="41">
        <v>54</v>
      </c>
      <c r="AJ48" s="41">
        <v>90</v>
      </c>
      <c r="AK48" s="41">
        <v>90</v>
      </c>
      <c r="AL48" s="41">
        <v>189</v>
      </c>
      <c r="AM48" s="41">
        <v>151</v>
      </c>
      <c r="AN48" s="41">
        <v>182</v>
      </c>
      <c r="AO48" s="41">
        <v>244</v>
      </c>
      <c r="AP48" s="41">
        <v>175</v>
      </c>
      <c r="AQ48" s="41">
        <v>136</v>
      </c>
      <c r="AR48" s="1">
        <v>139</v>
      </c>
      <c r="AS48" s="1">
        <v>151</v>
      </c>
      <c r="AT48" s="1">
        <v>153</v>
      </c>
      <c r="AU48" s="1">
        <v>163</v>
      </c>
      <c r="AV48" s="1">
        <v>193</v>
      </c>
      <c r="AW48" s="1">
        <v>191</v>
      </c>
      <c r="AX48" s="1">
        <v>185</v>
      </c>
      <c r="AY48" s="1">
        <v>186</v>
      </c>
      <c r="AZ48" s="1">
        <v>174</v>
      </c>
    </row>
    <row r="49" spans="1:158">
      <c r="A49" s="37" t="s">
        <v>150</v>
      </c>
      <c r="B49" s="41"/>
      <c r="C49" s="41">
        <v>1262</v>
      </c>
      <c r="D49" s="41">
        <v>1419</v>
      </c>
      <c r="E49" s="41">
        <v>1475</v>
      </c>
      <c r="F49" s="41">
        <v>1519</v>
      </c>
      <c r="G49" s="41">
        <v>1490</v>
      </c>
      <c r="H49" s="41">
        <v>1565</v>
      </c>
      <c r="I49" s="41">
        <v>1665</v>
      </c>
      <c r="J49" s="41">
        <v>1542</v>
      </c>
      <c r="K49" s="41">
        <v>1600</v>
      </c>
      <c r="L49" s="41">
        <v>1549</v>
      </c>
      <c r="M49" s="41">
        <v>1487</v>
      </c>
      <c r="N49" s="41">
        <v>1489</v>
      </c>
      <c r="O49" s="41">
        <v>1525</v>
      </c>
      <c r="P49" s="41">
        <v>1492</v>
      </c>
      <c r="Q49" s="41">
        <v>1471</v>
      </c>
      <c r="R49" s="41">
        <v>1443</v>
      </c>
      <c r="S49" s="41">
        <v>1449</v>
      </c>
      <c r="T49" s="41">
        <v>1611</v>
      </c>
      <c r="U49" s="41">
        <v>1459</v>
      </c>
      <c r="V49" s="41">
        <v>1652</v>
      </c>
      <c r="W49" s="41">
        <v>1709</v>
      </c>
      <c r="X49" s="41">
        <v>1751</v>
      </c>
      <c r="Y49" s="41">
        <v>1766</v>
      </c>
      <c r="Z49" s="41">
        <v>1973</v>
      </c>
      <c r="AA49" s="41">
        <v>2127</v>
      </c>
      <c r="AB49" s="41">
        <v>2191</v>
      </c>
      <c r="AC49" s="41">
        <v>2210</v>
      </c>
      <c r="AD49" s="41">
        <v>2300</v>
      </c>
      <c r="AE49" s="41">
        <v>2223</v>
      </c>
      <c r="AF49" s="41">
        <v>2003</v>
      </c>
      <c r="AG49" s="41">
        <v>2124</v>
      </c>
      <c r="AH49" s="41">
        <v>2021</v>
      </c>
      <c r="AI49" s="41">
        <v>1921</v>
      </c>
      <c r="AJ49" s="41">
        <v>1858</v>
      </c>
      <c r="AK49" s="41">
        <v>1850</v>
      </c>
      <c r="AL49" s="41">
        <v>2018</v>
      </c>
      <c r="AM49" s="41">
        <v>2090</v>
      </c>
      <c r="AN49" s="41">
        <v>2195</v>
      </c>
      <c r="AO49" s="41">
        <v>2395</v>
      </c>
      <c r="AP49" s="41">
        <v>2262</v>
      </c>
      <c r="AQ49" s="41">
        <v>2286</v>
      </c>
      <c r="AR49" s="1">
        <v>1998</v>
      </c>
      <c r="AS49" s="1">
        <v>1927</v>
      </c>
      <c r="AT49" s="1">
        <v>2001</v>
      </c>
      <c r="AU49" s="1">
        <v>2065</v>
      </c>
      <c r="AV49" s="1">
        <v>2128</v>
      </c>
      <c r="AW49" s="1">
        <v>2209</v>
      </c>
      <c r="AX49" s="1">
        <v>2174</v>
      </c>
      <c r="AY49" s="1">
        <v>2198</v>
      </c>
      <c r="AZ49" s="1">
        <v>2237</v>
      </c>
    </row>
    <row r="50" spans="1:158">
      <c r="A50" s="37" t="s">
        <v>154</v>
      </c>
      <c r="B50" s="41"/>
      <c r="C50" s="41">
        <v>63</v>
      </c>
      <c r="D50" s="41">
        <v>52</v>
      </c>
      <c r="E50" s="41">
        <v>51</v>
      </c>
      <c r="F50" s="41">
        <v>50</v>
      </c>
      <c r="G50" s="41">
        <v>51</v>
      </c>
      <c r="H50" s="41">
        <v>46</v>
      </c>
      <c r="I50" s="41">
        <v>45</v>
      </c>
      <c r="J50" s="41">
        <v>48</v>
      </c>
      <c r="K50" s="41">
        <v>50</v>
      </c>
      <c r="L50" s="41">
        <v>45</v>
      </c>
      <c r="M50" s="41">
        <v>37</v>
      </c>
      <c r="N50" s="41">
        <v>33</v>
      </c>
      <c r="O50" s="41">
        <v>41</v>
      </c>
      <c r="P50" s="41">
        <v>48</v>
      </c>
      <c r="Q50" s="41">
        <v>47</v>
      </c>
      <c r="R50" s="41">
        <v>53</v>
      </c>
      <c r="S50" s="41">
        <v>60</v>
      </c>
      <c r="T50" s="41">
        <v>65</v>
      </c>
      <c r="U50" s="41">
        <v>51</v>
      </c>
      <c r="V50" s="41">
        <v>48</v>
      </c>
      <c r="W50" s="41">
        <v>44</v>
      </c>
      <c r="X50" s="41">
        <v>49</v>
      </c>
      <c r="Y50" s="41">
        <v>60</v>
      </c>
      <c r="Z50" s="41">
        <v>52</v>
      </c>
      <c r="AA50" s="41">
        <v>60</v>
      </c>
      <c r="AB50" s="41">
        <v>63</v>
      </c>
      <c r="AC50" s="41">
        <v>92</v>
      </c>
      <c r="AD50" s="41">
        <v>95</v>
      </c>
      <c r="AE50" s="41">
        <v>71</v>
      </c>
      <c r="AF50" s="41">
        <v>65</v>
      </c>
      <c r="AG50" s="41">
        <v>78</v>
      </c>
      <c r="AH50" s="41">
        <v>99</v>
      </c>
      <c r="AI50" s="41">
        <v>73</v>
      </c>
      <c r="AJ50" s="41">
        <v>75</v>
      </c>
      <c r="AK50" s="41">
        <v>91</v>
      </c>
      <c r="AL50" s="41">
        <v>89</v>
      </c>
      <c r="AM50" s="41">
        <v>76</v>
      </c>
      <c r="AN50" s="41">
        <v>91</v>
      </c>
      <c r="AO50" s="41">
        <v>109</v>
      </c>
      <c r="AP50" s="41">
        <v>104</v>
      </c>
      <c r="AQ50" s="41">
        <v>99</v>
      </c>
      <c r="AR50" s="1">
        <v>91</v>
      </c>
      <c r="AS50" s="1">
        <v>113</v>
      </c>
      <c r="AT50" s="1">
        <v>112</v>
      </c>
      <c r="AU50" s="1">
        <v>135</v>
      </c>
      <c r="AV50" s="1">
        <v>147</v>
      </c>
      <c r="AW50" s="1">
        <v>177</v>
      </c>
      <c r="AX50" s="1">
        <v>126</v>
      </c>
      <c r="AY50" s="1">
        <v>149</v>
      </c>
      <c r="AZ50" s="1">
        <v>163</v>
      </c>
    </row>
    <row r="51" spans="1:158">
      <c r="A51" s="42" t="s">
        <v>157</v>
      </c>
      <c r="B51" s="43"/>
      <c r="C51" s="43">
        <v>934</v>
      </c>
      <c r="D51" s="43">
        <v>960</v>
      </c>
      <c r="E51" s="43">
        <v>861</v>
      </c>
      <c r="F51" s="43">
        <v>902</v>
      </c>
      <c r="G51" s="43">
        <v>911</v>
      </c>
      <c r="H51" s="43">
        <v>917</v>
      </c>
      <c r="I51" s="43">
        <v>899</v>
      </c>
      <c r="J51" s="43">
        <v>765</v>
      </c>
      <c r="K51" s="43">
        <v>757</v>
      </c>
      <c r="L51" s="43">
        <v>807</v>
      </c>
      <c r="M51" s="43">
        <v>760</v>
      </c>
      <c r="N51" s="43">
        <v>723</v>
      </c>
      <c r="O51" s="43">
        <v>779</v>
      </c>
      <c r="P51" s="43">
        <v>696</v>
      </c>
      <c r="Q51" s="43">
        <v>742</v>
      </c>
      <c r="R51" s="43">
        <v>797</v>
      </c>
      <c r="S51" s="43">
        <v>747</v>
      </c>
      <c r="T51" s="43">
        <v>788</v>
      </c>
      <c r="U51" s="43">
        <v>812</v>
      </c>
      <c r="V51" s="43">
        <v>771</v>
      </c>
      <c r="W51" s="43">
        <v>862</v>
      </c>
      <c r="X51" s="43">
        <v>872</v>
      </c>
      <c r="Y51" s="43">
        <v>830</v>
      </c>
      <c r="Z51" s="43">
        <v>851</v>
      </c>
      <c r="AA51" s="43">
        <v>956</v>
      </c>
      <c r="AB51" s="43">
        <v>907</v>
      </c>
      <c r="AC51" s="43">
        <v>917</v>
      </c>
      <c r="AD51" s="43">
        <v>986</v>
      </c>
      <c r="AE51" s="43">
        <v>948</v>
      </c>
      <c r="AF51" s="43">
        <v>891</v>
      </c>
      <c r="AG51" s="43">
        <v>884</v>
      </c>
      <c r="AH51" s="43">
        <v>852</v>
      </c>
      <c r="AI51" s="43">
        <v>857</v>
      </c>
      <c r="AJ51" s="43">
        <v>826</v>
      </c>
      <c r="AK51" s="43">
        <v>802</v>
      </c>
      <c r="AL51" s="43">
        <v>946</v>
      </c>
      <c r="AM51" s="43">
        <v>961</v>
      </c>
      <c r="AN51" s="43">
        <v>1113</v>
      </c>
      <c r="AO51" s="43">
        <v>1015</v>
      </c>
      <c r="AP51" s="43">
        <v>1054</v>
      </c>
      <c r="AQ51" s="43">
        <v>982</v>
      </c>
      <c r="AR51" s="1">
        <v>1035</v>
      </c>
      <c r="AS51" s="1">
        <v>1140</v>
      </c>
      <c r="AT51" s="1">
        <v>1098</v>
      </c>
      <c r="AU51" s="1">
        <v>1189</v>
      </c>
      <c r="AV51" s="1">
        <v>1182</v>
      </c>
      <c r="AW51" s="1">
        <v>1180</v>
      </c>
      <c r="AX51" s="1">
        <v>1206</v>
      </c>
      <c r="AY51" s="1">
        <v>1160</v>
      </c>
      <c r="AZ51" s="1">
        <v>1142</v>
      </c>
    </row>
    <row r="52" spans="1:158">
      <c r="A52" s="37" t="s">
        <v>212</v>
      </c>
      <c r="B52" s="38">
        <f t="shared" ref="B52:AP52" si="84">SUM(B54:B62)</f>
        <v>0</v>
      </c>
      <c r="C52" s="38">
        <f t="shared" si="84"/>
        <v>7829</v>
      </c>
      <c r="D52" s="38">
        <f t="shared" si="84"/>
        <v>8181</v>
      </c>
      <c r="E52" s="38">
        <f t="shared" si="84"/>
        <v>8775</v>
      </c>
      <c r="F52" s="38">
        <f t="shared" si="84"/>
        <v>9461</v>
      </c>
      <c r="G52" s="38">
        <f t="shared" si="84"/>
        <v>8878</v>
      </c>
      <c r="H52" s="38">
        <f t="shared" si="84"/>
        <v>8875</v>
      </c>
      <c r="I52" s="38">
        <f t="shared" si="84"/>
        <v>9064</v>
      </c>
      <c r="J52" s="38">
        <f t="shared" si="84"/>
        <v>8703</v>
      </c>
      <c r="K52" s="38">
        <f t="shared" si="84"/>
        <v>8553</v>
      </c>
      <c r="L52" s="38">
        <f t="shared" si="84"/>
        <v>8444</v>
      </c>
      <c r="M52" s="38">
        <f t="shared" si="84"/>
        <v>8341</v>
      </c>
      <c r="N52" s="38">
        <f t="shared" si="84"/>
        <v>8491</v>
      </c>
      <c r="O52" s="38">
        <f t="shared" si="84"/>
        <v>8490</v>
      </c>
      <c r="P52" s="38">
        <f t="shared" si="84"/>
        <v>8341</v>
      </c>
      <c r="Q52" s="38">
        <f t="shared" si="84"/>
        <v>8533</v>
      </c>
      <c r="R52" s="38">
        <f t="shared" si="84"/>
        <v>8446</v>
      </c>
      <c r="S52" s="38">
        <f t="shared" si="84"/>
        <v>8674</v>
      </c>
      <c r="T52" s="38">
        <f t="shared" si="84"/>
        <v>8636</v>
      </c>
      <c r="U52" s="38">
        <f t="shared" si="84"/>
        <v>8951</v>
      </c>
      <c r="V52" s="38">
        <f t="shared" si="84"/>
        <v>9286</v>
      </c>
      <c r="W52" s="38">
        <f t="shared" si="84"/>
        <v>9793</v>
      </c>
      <c r="X52" s="38">
        <f t="shared" si="84"/>
        <v>10177</v>
      </c>
      <c r="Y52" s="38">
        <f t="shared" si="84"/>
        <v>10289</v>
      </c>
      <c r="Z52" s="38">
        <f t="shared" si="84"/>
        <v>10663</v>
      </c>
      <c r="AA52" s="38">
        <f t="shared" si="84"/>
        <v>10684</v>
      </c>
      <c r="AB52" s="38">
        <f t="shared" si="84"/>
        <v>10922</v>
      </c>
      <c r="AC52" s="38">
        <f t="shared" si="84"/>
        <v>10642</v>
      </c>
      <c r="AD52" s="38">
        <f t="shared" si="84"/>
        <v>10817</v>
      </c>
      <c r="AE52" s="38">
        <f t="shared" si="84"/>
        <v>11131</v>
      </c>
      <c r="AF52" s="38">
        <f t="shared" si="84"/>
        <v>10276</v>
      </c>
      <c r="AG52" s="38">
        <f t="shared" si="84"/>
        <v>10456</v>
      </c>
      <c r="AH52" s="38">
        <f t="shared" si="84"/>
        <v>10252</v>
      </c>
      <c r="AI52" s="38">
        <f t="shared" si="84"/>
        <v>10092</v>
      </c>
      <c r="AJ52" s="38">
        <f t="shared" si="84"/>
        <v>10680</v>
      </c>
      <c r="AK52" s="38">
        <f t="shared" si="84"/>
        <v>11609</v>
      </c>
      <c r="AL52" s="38">
        <f t="shared" si="84"/>
        <v>12314</v>
      </c>
      <c r="AM52" s="38">
        <f t="shared" si="84"/>
        <v>13382</v>
      </c>
      <c r="AN52" s="38">
        <f t="shared" si="84"/>
        <v>14170</v>
      </c>
      <c r="AO52" s="38">
        <f t="shared" si="84"/>
        <v>13857</v>
      </c>
      <c r="AP52" s="38">
        <f t="shared" si="84"/>
        <v>13611</v>
      </c>
      <c r="AQ52" s="38">
        <f t="shared" ref="AQ52:AR52" si="85">SUM(AQ54:AQ62)</f>
        <v>12153</v>
      </c>
      <c r="AR52" s="38">
        <f t="shared" si="85"/>
        <v>12719</v>
      </c>
      <c r="AS52" s="38">
        <f t="shared" ref="AS52:AT52" si="86">SUM(AS54:AS62)</f>
        <v>13128</v>
      </c>
      <c r="AT52" s="38">
        <f t="shared" si="86"/>
        <v>13216</v>
      </c>
      <c r="AU52" s="38">
        <f t="shared" ref="AU52:AV52" si="87">SUM(AU54:AU62)</f>
        <v>13952</v>
      </c>
      <c r="AV52" s="38">
        <f t="shared" si="87"/>
        <v>13753</v>
      </c>
      <c r="AW52" s="38">
        <f t="shared" ref="AW52:AX52" si="88">SUM(AW54:AW62)</f>
        <v>14297</v>
      </c>
      <c r="AX52" s="38">
        <f t="shared" si="88"/>
        <v>14018</v>
      </c>
      <c r="AY52" s="38">
        <f t="shared" ref="AY52:AZ52" si="89">SUM(AY54:AY62)</f>
        <v>14615</v>
      </c>
      <c r="AZ52" s="38">
        <f t="shared" si="89"/>
        <v>14686</v>
      </c>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row>
    <row r="53" spans="1:158">
      <c r="A53" s="39" t="s">
        <v>213</v>
      </c>
      <c r="B53" s="40">
        <f t="shared" ref="B53:AP53" si="90">(B52/B4)*100</f>
        <v>0</v>
      </c>
      <c r="C53" s="40">
        <f t="shared" si="90"/>
        <v>26.224291552220809</v>
      </c>
      <c r="D53" s="40">
        <f t="shared" si="90"/>
        <v>25.495512341062078</v>
      </c>
      <c r="E53" s="40">
        <f t="shared" si="90"/>
        <v>26.310266250899495</v>
      </c>
      <c r="F53" s="40">
        <f t="shared" si="90"/>
        <v>27.211803957662216</v>
      </c>
      <c r="G53" s="40">
        <f t="shared" si="90"/>
        <v>26.267826498609388</v>
      </c>
      <c r="H53" s="40">
        <f t="shared" si="90"/>
        <v>26.052368930898844</v>
      </c>
      <c r="I53" s="40">
        <f t="shared" si="90"/>
        <v>26.631408843837228</v>
      </c>
      <c r="J53" s="40">
        <f t="shared" si="90"/>
        <v>26.200439533973569</v>
      </c>
      <c r="K53" s="40">
        <f t="shared" si="90"/>
        <v>26.626611045389453</v>
      </c>
      <c r="L53" s="40">
        <f t="shared" si="90"/>
        <v>25.810790157420143</v>
      </c>
      <c r="M53" s="40">
        <f t="shared" si="90"/>
        <v>25.585889570552144</v>
      </c>
      <c r="N53" s="40">
        <f t="shared" si="90"/>
        <v>25.772476173131793</v>
      </c>
      <c r="O53" s="40">
        <f t="shared" si="90"/>
        <v>25.971245029060874</v>
      </c>
      <c r="P53" s="40">
        <f t="shared" si="90"/>
        <v>25.459373664611441</v>
      </c>
      <c r="Q53" s="40">
        <f t="shared" si="90"/>
        <v>25.710325710325709</v>
      </c>
      <c r="R53" s="40">
        <f t="shared" si="90"/>
        <v>25.655356763160292</v>
      </c>
      <c r="S53" s="40">
        <f t="shared" si="90"/>
        <v>25.790146582225791</v>
      </c>
      <c r="T53" s="40">
        <f t="shared" si="90"/>
        <v>25.387306346826588</v>
      </c>
      <c r="U53" s="40">
        <f t="shared" si="90"/>
        <v>25.711659437566425</v>
      </c>
      <c r="V53" s="40">
        <f t="shared" si="90"/>
        <v>25.980639024117284</v>
      </c>
      <c r="W53" s="40">
        <f t="shared" si="90"/>
        <v>25.537851722429394</v>
      </c>
      <c r="X53" s="40">
        <f t="shared" si="90"/>
        <v>25.917437033641484</v>
      </c>
      <c r="Y53" s="40">
        <f t="shared" si="90"/>
        <v>25.316175385069634</v>
      </c>
      <c r="Z53" s="40">
        <f t="shared" si="90"/>
        <v>25.327189377924515</v>
      </c>
      <c r="AA53" s="40">
        <f t="shared" si="90"/>
        <v>24.762434524637278</v>
      </c>
      <c r="AB53" s="40">
        <f t="shared" si="90"/>
        <v>24.597991081482817</v>
      </c>
      <c r="AC53" s="40">
        <f t="shared" si="90"/>
        <v>23.864196977171819</v>
      </c>
      <c r="AD53" s="40">
        <f t="shared" si="90"/>
        <v>23.599354219390872</v>
      </c>
      <c r="AE53" s="40">
        <f t="shared" si="90"/>
        <v>24.192566833297111</v>
      </c>
      <c r="AF53" s="40">
        <f t="shared" si="90"/>
        <v>23.313746398348346</v>
      </c>
      <c r="AG53" s="40">
        <f t="shared" si="90"/>
        <v>23.335118728798427</v>
      </c>
      <c r="AH53" s="40">
        <f t="shared" si="90"/>
        <v>22.830928202387316</v>
      </c>
      <c r="AI53" s="40">
        <f t="shared" si="90"/>
        <v>22.853260869565219</v>
      </c>
      <c r="AJ53" s="40">
        <f t="shared" si="90"/>
        <v>23.19621215412015</v>
      </c>
      <c r="AK53" s="40">
        <f t="shared" si="90"/>
        <v>24.00885157074018</v>
      </c>
      <c r="AL53" s="40">
        <f t="shared" si="90"/>
        <v>23.396857365431021</v>
      </c>
      <c r="AM53" s="40">
        <f t="shared" si="90"/>
        <v>23.964470550312495</v>
      </c>
      <c r="AN53" s="40">
        <f t="shared" si="90"/>
        <v>23.376666226738816</v>
      </c>
      <c r="AO53" s="40">
        <f t="shared" si="90"/>
        <v>22.594531135351954</v>
      </c>
      <c r="AP53" s="40">
        <f t="shared" si="90"/>
        <v>22.160894837102525</v>
      </c>
      <c r="AQ53" s="40">
        <f t="shared" ref="AQ53:AR53" si="91">(AQ52/AQ4)*100</f>
        <v>21.274770674322525</v>
      </c>
      <c r="AR53" s="40">
        <f t="shared" si="91"/>
        <v>21.862591745878955</v>
      </c>
      <c r="AS53" s="40">
        <f t="shared" ref="AS53:AT53" si="92">(AS52/AS4)*100</f>
        <v>21.837780291436555</v>
      </c>
      <c r="AT53" s="40">
        <f t="shared" si="92"/>
        <v>21.211780755958589</v>
      </c>
      <c r="AU53" s="40">
        <f t="shared" ref="AU53:AV53" si="93">(AU52/AU4)*100</f>
        <v>21.676040145418387</v>
      </c>
      <c r="AV53" s="40">
        <f t="shared" si="93"/>
        <v>20.909477909204245</v>
      </c>
      <c r="AW53" s="40">
        <f t="shared" ref="AW53:AX53" si="94">(AW52/AW4)*100</f>
        <v>21.706850479776509</v>
      </c>
      <c r="AX53" s="40">
        <f t="shared" si="94"/>
        <v>20.873475587057193</v>
      </c>
      <c r="AY53" s="40">
        <f t="shared" ref="AY53:AZ53" si="95">(AY52/AY4)*100</f>
        <v>21.326737585547725</v>
      </c>
      <c r="AZ53" s="40">
        <f t="shared" si="95"/>
        <v>21.072115246649638</v>
      </c>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row>
    <row r="54" spans="1:158">
      <c r="A54" s="37" t="s">
        <v>129</v>
      </c>
      <c r="B54" s="41"/>
      <c r="C54" s="41">
        <v>511</v>
      </c>
      <c r="D54" s="41">
        <v>519</v>
      </c>
      <c r="E54" s="41">
        <v>578</v>
      </c>
      <c r="F54" s="41">
        <v>559</v>
      </c>
      <c r="G54" s="41">
        <v>577</v>
      </c>
      <c r="H54" s="41">
        <v>584</v>
      </c>
      <c r="I54" s="41">
        <v>579</v>
      </c>
      <c r="J54" s="41">
        <v>527</v>
      </c>
      <c r="K54" s="41">
        <v>530</v>
      </c>
      <c r="L54" s="41">
        <v>503</v>
      </c>
      <c r="M54" s="41">
        <v>499</v>
      </c>
      <c r="N54" s="41">
        <v>483</v>
      </c>
      <c r="O54" s="41">
        <v>482</v>
      </c>
      <c r="P54" s="41">
        <v>470</v>
      </c>
      <c r="Q54" s="41">
        <v>515</v>
      </c>
      <c r="R54" s="41">
        <v>472</v>
      </c>
      <c r="S54" s="41">
        <v>462</v>
      </c>
      <c r="T54" s="41">
        <v>533</v>
      </c>
      <c r="U54" s="41">
        <v>496</v>
      </c>
      <c r="V54" s="41">
        <v>553</v>
      </c>
      <c r="W54" s="41">
        <v>572</v>
      </c>
      <c r="X54" s="41">
        <v>610</v>
      </c>
      <c r="Y54" s="41">
        <v>604</v>
      </c>
      <c r="Z54" s="41">
        <v>630</v>
      </c>
      <c r="AA54" s="41">
        <v>646</v>
      </c>
      <c r="AB54" s="41">
        <v>707</v>
      </c>
      <c r="AC54" s="41">
        <v>676</v>
      </c>
      <c r="AD54" s="41">
        <v>667</v>
      </c>
      <c r="AE54" s="41">
        <v>686</v>
      </c>
      <c r="AF54" s="41">
        <v>588</v>
      </c>
      <c r="AG54" s="41">
        <v>667</v>
      </c>
      <c r="AH54" s="41">
        <v>607</v>
      </c>
      <c r="AI54" s="41">
        <v>593</v>
      </c>
      <c r="AJ54" s="41">
        <v>648</v>
      </c>
      <c r="AK54" s="41">
        <v>680</v>
      </c>
      <c r="AL54" s="41">
        <v>675</v>
      </c>
      <c r="AM54" s="41">
        <v>735</v>
      </c>
      <c r="AN54" s="41">
        <v>828</v>
      </c>
      <c r="AO54" s="41">
        <v>766</v>
      </c>
      <c r="AP54" s="41">
        <v>667</v>
      </c>
      <c r="AQ54" s="41">
        <v>670</v>
      </c>
      <c r="AR54" s="1">
        <v>658</v>
      </c>
      <c r="AS54" s="1">
        <v>770</v>
      </c>
      <c r="AT54" s="1">
        <v>776</v>
      </c>
      <c r="AU54" s="1">
        <v>790</v>
      </c>
      <c r="AV54" s="1">
        <v>830</v>
      </c>
      <c r="AW54" s="1">
        <v>825</v>
      </c>
      <c r="AX54" s="1">
        <v>799</v>
      </c>
      <c r="AY54" s="1">
        <v>859</v>
      </c>
      <c r="AZ54" s="1">
        <v>864</v>
      </c>
    </row>
    <row r="55" spans="1:158">
      <c r="A55" s="37" t="s">
        <v>138</v>
      </c>
      <c r="B55" s="41"/>
      <c r="C55" s="41">
        <v>24</v>
      </c>
      <c r="D55" s="41">
        <v>25</v>
      </c>
      <c r="E55" s="41">
        <v>28</v>
      </c>
      <c r="F55" s="41">
        <v>42</v>
      </c>
      <c r="G55" s="41">
        <v>29</v>
      </c>
      <c r="H55" s="41">
        <v>26</v>
      </c>
      <c r="I55" s="41">
        <v>41</v>
      </c>
      <c r="J55" s="41">
        <v>38</v>
      </c>
      <c r="K55" s="41">
        <v>41</v>
      </c>
      <c r="L55" s="41">
        <v>22</v>
      </c>
      <c r="M55" s="41">
        <v>21</v>
      </c>
      <c r="N55" s="41">
        <v>25</v>
      </c>
      <c r="O55" s="41">
        <v>32</v>
      </c>
      <c r="P55" s="41">
        <v>22</v>
      </c>
      <c r="Q55" s="41">
        <v>25</v>
      </c>
      <c r="R55" s="41">
        <v>23</v>
      </c>
      <c r="S55" s="41">
        <v>29</v>
      </c>
      <c r="T55" s="41">
        <v>25</v>
      </c>
      <c r="U55" s="41">
        <v>25</v>
      </c>
      <c r="V55" s="41">
        <v>36</v>
      </c>
      <c r="W55" s="41">
        <v>34</v>
      </c>
      <c r="X55" s="41">
        <v>33</v>
      </c>
      <c r="Y55" s="41">
        <v>51</v>
      </c>
      <c r="Z55" s="41">
        <v>40</v>
      </c>
      <c r="AA55" s="41">
        <v>53</v>
      </c>
      <c r="AB55" s="41">
        <v>42</v>
      </c>
      <c r="AC55" s="41">
        <v>47</v>
      </c>
      <c r="AD55" s="41">
        <v>75</v>
      </c>
      <c r="AE55" s="41">
        <v>49</v>
      </c>
      <c r="AF55" s="41">
        <v>38</v>
      </c>
      <c r="AG55" s="41">
        <v>49</v>
      </c>
      <c r="AH55" s="41">
        <v>41</v>
      </c>
      <c r="AI55" s="41">
        <v>39</v>
      </c>
      <c r="AJ55" s="41">
        <v>56</v>
      </c>
      <c r="AK55" s="41">
        <v>43</v>
      </c>
      <c r="AL55" s="41">
        <v>40</v>
      </c>
      <c r="AM55" s="41">
        <v>39</v>
      </c>
      <c r="AN55" s="41">
        <v>59</v>
      </c>
      <c r="AO55" s="41">
        <v>50</v>
      </c>
      <c r="AP55" s="41">
        <v>61</v>
      </c>
      <c r="AQ55" s="41">
        <v>52</v>
      </c>
      <c r="AR55" s="1">
        <v>60</v>
      </c>
      <c r="AS55" s="1">
        <v>61</v>
      </c>
      <c r="AT55" s="1">
        <v>59</v>
      </c>
      <c r="AU55" s="1">
        <v>86</v>
      </c>
      <c r="AV55" s="1">
        <v>85</v>
      </c>
      <c r="AW55" s="1">
        <v>121</v>
      </c>
      <c r="AX55" s="1">
        <v>126</v>
      </c>
      <c r="AY55" s="1">
        <v>106</v>
      </c>
      <c r="AZ55" s="1">
        <v>171</v>
      </c>
    </row>
    <row r="56" spans="1:158">
      <c r="A56" s="37" t="s">
        <v>137</v>
      </c>
      <c r="B56" s="41"/>
      <c r="C56" s="41">
        <v>1676</v>
      </c>
      <c r="D56" s="41">
        <v>1791</v>
      </c>
      <c r="E56" s="41">
        <v>1818</v>
      </c>
      <c r="F56" s="41">
        <v>2190</v>
      </c>
      <c r="G56" s="41">
        <v>2022</v>
      </c>
      <c r="H56" s="41">
        <v>2018</v>
      </c>
      <c r="I56" s="41">
        <v>2018</v>
      </c>
      <c r="J56" s="41">
        <v>1980</v>
      </c>
      <c r="K56" s="41">
        <v>1952</v>
      </c>
      <c r="L56" s="41">
        <v>1865</v>
      </c>
      <c r="M56" s="41">
        <v>1839</v>
      </c>
      <c r="N56" s="41">
        <v>2005</v>
      </c>
      <c r="O56" s="41">
        <v>1822</v>
      </c>
      <c r="P56" s="41">
        <v>1822</v>
      </c>
      <c r="Q56" s="41">
        <v>1840</v>
      </c>
      <c r="R56" s="41">
        <v>1777</v>
      </c>
      <c r="S56" s="41">
        <v>1912</v>
      </c>
      <c r="T56" s="41">
        <v>1908</v>
      </c>
      <c r="U56" s="41">
        <v>1937</v>
      </c>
      <c r="V56" s="41">
        <v>1986</v>
      </c>
      <c r="W56" s="41">
        <v>2122</v>
      </c>
      <c r="X56" s="41">
        <v>2172</v>
      </c>
      <c r="Y56" s="41">
        <v>2256</v>
      </c>
      <c r="Z56" s="41">
        <v>2276</v>
      </c>
      <c r="AA56" s="41">
        <v>2228</v>
      </c>
      <c r="AB56" s="41">
        <v>2283</v>
      </c>
      <c r="AC56" s="41">
        <v>2376</v>
      </c>
      <c r="AD56" s="41">
        <v>2272</v>
      </c>
      <c r="AE56" s="41">
        <v>2554</v>
      </c>
      <c r="AF56" s="41">
        <v>2281</v>
      </c>
      <c r="AG56" s="41">
        <v>2283</v>
      </c>
      <c r="AH56" s="41">
        <v>2234</v>
      </c>
      <c r="AI56" s="41">
        <v>2287</v>
      </c>
      <c r="AJ56" s="41">
        <v>2320</v>
      </c>
      <c r="AK56" s="41">
        <v>2484</v>
      </c>
      <c r="AL56" s="41">
        <v>2676</v>
      </c>
      <c r="AM56" s="41">
        <v>3001</v>
      </c>
      <c r="AN56" s="41">
        <v>3325</v>
      </c>
      <c r="AO56" s="41">
        <v>3074</v>
      </c>
      <c r="AP56" s="41">
        <v>3038</v>
      </c>
      <c r="AQ56" s="41">
        <v>2628</v>
      </c>
      <c r="AR56" s="1">
        <v>2768</v>
      </c>
      <c r="AS56" s="1">
        <v>2862</v>
      </c>
      <c r="AT56" s="1">
        <v>2951</v>
      </c>
      <c r="AU56" s="1">
        <v>3080</v>
      </c>
      <c r="AV56" s="1">
        <v>3020</v>
      </c>
      <c r="AW56" s="1">
        <v>3244</v>
      </c>
      <c r="AX56" s="1">
        <v>3183</v>
      </c>
      <c r="AY56" s="1">
        <v>3305</v>
      </c>
      <c r="AZ56" s="1">
        <v>3353</v>
      </c>
    </row>
    <row r="57" spans="1:158" s="3" customFormat="1">
      <c r="A57" s="37" t="s">
        <v>145</v>
      </c>
      <c r="B57" s="41"/>
      <c r="C57" s="41">
        <v>49</v>
      </c>
      <c r="D57" s="41">
        <v>54</v>
      </c>
      <c r="E57" s="41">
        <v>63</v>
      </c>
      <c r="F57" s="41">
        <v>63</v>
      </c>
      <c r="G57" s="41">
        <v>51</v>
      </c>
      <c r="H57" s="41">
        <v>62</v>
      </c>
      <c r="I57" s="41">
        <v>67</v>
      </c>
      <c r="J57" s="41">
        <v>55</v>
      </c>
      <c r="K57" s="41">
        <v>52</v>
      </c>
      <c r="L57" s="41">
        <v>63</v>
      </c>
      <c r="M57" s="41">
        <v>58</v>
      </c>
      <c r="N57" s="41">
        <v>68</v>
      </c>
      <c r="O57" s="41">
        <v>65</v>
      </c>
      <c r="P57" s="41">
        <v>67</v>
      </c>
      <c r="Q57" s="41">
        <v>58</v>
      </c>
      <c r="R57" s="41">
        <v>49</v>
      </c>
      <c r="S57" s="41">
        <v>57</v>
      </c>
      <c r="T57" s="41">
        <v>78</v>
      </c>
      <c r="U57" s="41">
        <v>69</v>
      </c>
      <c r="V57" s="41">
        <v>87</v>
      </c>
      <c r="W57" s="41">
        <v>83</v>
      </c>
      <c r="X57" s="41">
        <v>89</v>
      </c>
      <c r="Y57" s="41">
        <v>79</v>
      </c>
      <c r="Z57" s="41">
        <v>118</v>
      </c>
      <c r="AA57" s="41">
        <v>136</v>
      </c>
      <c r="AB57" s="41">
        <v>112</v>
      </c>
      <c r="AC57" s="41">
        <v>110</v>
      </c>
      <c r="AD57" s="41">
        <v>138</v>
      </c>
      <c r="AE57" s="41">
        <v>147</v>
      </c>
      <c r="AF57" s="41">
        <v>140</v>
      </c>
      <c r="AG57" s="41">
        <v>116</v>
      </c>
      <c r="AH57" s="41">
        <v>126</v>
      </c>
      <c r="AI57" s="41">
        <v>123</v>
      </c>
      <c r="AJ57" s="41">
        <v>142</v>
      </c>
      <c r="AK57" s="41">
        <v>127</v>
      </c>
      <c r="AL57" s="41">
        <v>167</v>
      </c>
      <c r="AM57" s="41">
        <v>175</v>
      </c>
      <c r="AN57" s="41">
        <v>198</v>
      </c>
      <c r="AO57" s="41">
        <v>164</v>
      </c>
      <c r="AP57" s="41">
        <v>168</v>
      </c>
      <c r="AQ57" s="41">
        <v>156</v>
      </c>
      <c r="AR57" s="1">
        <v>148</v>
      </c>
      <c r="AS57" s="1">
        <v>156</v>
      </c>
      <c r="AT57" s="1">
        <v>168</v>
      </c>
      <c r="AU57" s="1">
        <v>193</v>
      </c>
      <c r="AV57" s="1">
        <v>188</v>
      </c>
      <c r="AW57" s="1">
        <v>182</v>
      </c>
      <c r="AX57" s="1">
        <v>189</v>
      </c>
      <c r="AY57" s="1">
        <v>186</v>
      </c>
      <c r="AZ57" s="1">
        <v>218</v>
      </c>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row>
    <row r="58" spans="1:158" s="3" customFormat="1">
      <c r="A58" s="37" t="s">
        <v>146</v>
      </c>
      <c r="B58" s="41"/>
      <c r="C58" s="41">
        <v>565</v>
      </c>
      <c r="D58" s="41">
        <v>551</v>
      </c>
      <c r="E58" s="41">
        <v>621</v>
      </c>
      <c r="F58" s="41">
        <v>609</v>
      </c>
      <c r="G58" s="41">
        <v>597</v>
      </c>
      <c r="H58" s="41">
        <v>718</v>
      </c>
      <c r="I58" s="41">
        <v>691</v>
      </c>
      <c r="J58" s="41">
        <v>760</v>
      </c>
      <c r="K58" s="41">
        <v>713</v>
      </c>
      <c r="L58" s="41">
        <v>719</v>
      </c>
      <c r="M58" s="41">
        <v>645</v>
      </c>
      <c r="N58" s="41">
        <v>781</v>
      </c>
      <c r="O58" s="41">
        <v>790</v>
      </c>
      <c r="P58" s="41">
        <v>812</v>
      </c>
      <c r="Q58" s="41">
        <v>709</v>
      </c>
      <c r="R58" s="41">
        <v>690</v>
      </c>
      <c r="S58" s="41">
        <v>735</v>
      </c>
      <c r="T58" s="41">
        <v>670</v>
      </c>
      <c r="U58" s="41">
        <v>824</v>
      </c>
      <c r="V58" s="41">
        <v>747</v>
      </c>
      <c r="W58" s="41">
        <v>855</v>
      </c>
      <c r="X58" s="41">
        <v>816</v>
      </c>
      <c r="Y58" s="41">
        <v>994</v>
      </c>
      <c r="Z58" s="41">
        <v>965</v>
      </c>
      <c r="AA58" s="41">
        <v>1032</v>
      </c>
      <c r="AB58" s="41">
        <v>1053</v>
      </c>
      <c r="AC58" s="41">
        <v>1051</v>
      </c>
      <c r="AD58" s="41">
        <v>1038</v>
      </c>
      <c r="AE58" s="41">
        <v>959</v>
      </c>
      <c r="AF58" s="41">
        <v>952</v>
      </c>
      <c r="AG58" s="41">
        <v>1001</v>
      </c>
      <c r="AH58" s="41">
        <v>1055</v>
      </c>
      <c r="AI58" s="41">
        <v>980</v>
      </c>
      <c r="AJ58" s="41">
        <v>1052</v>
      </c>
      <c r="AK58" s="41">
        <v>1182</v>
      </c>
      <c r="AL58" s="41">
        <v>1142</v>
      </c>
      <c r="AM58" s="41">
        <v>1203</v>
      </c>
      <c r="AN58" s="41">
        <v>1245</v>
      </c>
      <c r="AO58" s="41">
        <v>1322</v>
      </c>
      <c r="AP58" s="41">
        <v>1442</v>
      </c>
      <c r="AQ58" s="41">
        <v>1302</v>
      </c>
      <c r="AR58" s="1">
        <v>1405</v>
      </c>
      <c r="AS58" s="1">
        <v>1398</v>
      </c>
      <c r="AT58" s="1">
        <v>1121</v>
      </c>
      <c r="AU58" s="1">
        <v>1392</v>
      </c>
      <c r="AV58" s="1">
        <v>1457</v>
      </c>
      <c r="AW58" s="1">
        <v>1469</v>
      </c>
      <c r="AX58" s="1">
        <v>1442</v>
      </c>
      <c r="AY58" s="1">
        <v>1613</v>
      </c>
      <c r="AZ58" s="1">
        <v>1637</v>
      </c>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row>
    <row r="59" spans="1:158" s="3" customFormat="1">
      <c r="A59" s="37" t="s">
        <v>149</v>
      </c>
      <c r="B59" s="41"/>
      <c r="C59" s="41">
        <v>3292</v>
      </c>
      <c r="D59" s="41">
        <v>3370</v>
      </c>
      <c r="E59" s="41">
        <v>3607</v>
      </c>
      <c r="F59" s="41">
        <v>3953</v>
      </c>
      <c r="G59" s="41">
        <v>3681</v>
      </c>
      <c r="H59" s="41">
        <v>3451</v>
      </c>
      <c r="I59" s="41">
        <v>3626</v>
      </c>
      <c r="J59" s="41">
        <v>3478</v>
      </c>
      <c r="K59" s="41">
        <v>3400</v>
      </c>
      <c r="L59" s="41">
        <v>3398</v>
      </c>
      <c r="M59" s="41">
        <v>3375</v>
      </c>
      <c r="N59" s="41">
        <v>3255</v>
      </c>
      <c r="O59" s="41">
        <v>3259</v>
      </c>
      <c r="P59" s="41">
        <v>3181</v>
      </c>
      <c r="Q59" s="41">
        <v>3310</v>
      </c>
      <c r="R59" s="41">
        <v>3360</v>
      </c>
      <c r="S59" s="41">
        <v>3411</v>
      </c>
      <c r="T59" s="41">
        <v>3367</v>
      </c>
      <c r="U59" s="41">
        <v>3436</v>
      </c>
      <c r="V59" s="41">
        <v>3579</v>
      </c>
      <c r="W59" s="41">
        <v>3842</v>
      </c>
      <c r="X59" s="41">
        <v>4019</v>
      </c>
      <c r="Y59" s="41">
        <v>3816</v>
      </c>
      <c r="Z59" s="41">
        <v>4045</v>
      </c>
      <c r="AA59" s="41">
        <v>4025</v>
      </c>
      <c r="AB59" s="41">
        <v>3974</v>
      </c>
      <c r="AC59" s="41">
        <v>3765</v>
      </c>
      <c r="AD59" s="41">
        <v>3898</v>
      </c>
      <c r="AE59" s="41">
        <v>4013</v>
      </c>
      <c r="AF59" s="41">
        <v>3757</v>
      </c>
      <c r="AG59" s="41">
        <v>3783</v>
      </c>
      <c r="AH59" s="41">
        <v>3633</v>
      </c>
      <c r="AI59" s="41">
        <v>3464</v>
      </c>
      <c r="AJ59" s="41">
        <v>3741</v>
      </c>
      <c r="AK59" s="41">
        <v>3990</v>
      </c>
      <c r="AL59" s="41">
        <v>4350</v>
      </c>
      <c r="AM59" s="41">
        <v>4522</v>
      </c>
      <c r="AN59" s="41">
        <v>4661</v>
      </c>
      <c r="AO59" s="41">
        <v>4664</v>
      </c>
      <c r="AP59" s="41">
        <v>4630</v>
      </c>
      <c r="AQ59" s="41">
        <v>4319</v>
      </c>
      <c r="AR59" s="1">
        <v>4449</v>
      </c>
      <c r="AS59" s="1">
        <v>4501</v>
      </c>
      <c r="AT59" s="1">
        <v>4747</v>
      </c>
      <c r="AU59" s="1">
        <v>4853</v>
      </c>
      <c r="AV59" s="1">
        <v>4672</v>
      </c>
      <c r="AW59" s="1">
        <v>4886</v>
      </c>
      <c r="AX59" s="1">
        <v>4664</v>
      </c>
      <c r="AY59" s="1">
        <v>4929</v>
      </c>
      <c r="AZ59" s="1">
        <v>4798</v>
      </c>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row>
    <row r="60" spans="1:158" s="3" customFormat="1">
      <c r="A60" s="37" t="s">
        <v>152</v>
      </c>
      <c r="B60" s="41"/>
      <c r="C60" s="41">
        <v>1492</v>
      </c>
      <c r="D60" s="41">
        <v>1636</v>
      </c>
      <c r="E60" s="41">
        <v>1817</v>
      </c>
      <c r="F60" s="41">
        <v>1825</v>
      </c>
      <c r="G60" s="41">
        <v>1663</v>
      </c>
      <c r="H60" s="41">
        <v>1771</v>
      </c>
      <c r="I60" s="41">
        <v>1809</v>
      </c>
      <c r="J60" s="41">
        <v>1628</v>
      </c>
      <c r="K60" s="41">
        <v>1645</v>
      </c>
      <c r="L60" s="41">
        <v>1658</v>
      </c>
      <c r="M60" s="41">
        <v>1669</v>
      </c>
      <c r="N60" s="41">
        <v>1664</v>
      </c>
      <c r="O60" s="41">
        <v>1812</v>
      </c>
      <c r="P60" s="41">
        <v>1761</v>
      </c>
      <c r="Q60" s="41">
        <v>1858</v>
      </c>
      <c r="R60" s="41">
        <v>1850</v>
      </c>
      <c r="S60" s="41">
        <v>1832</v>
      </c>
      <c r="T60" s="41">
        <v>1802</v>
      </c>
      <c r="U60" s="41">
        <v>1882</v>
      </c>
      <c r="V60" s="41">
        <v>2027</v>
      </c>
      <c r="W60" s="41">
        <v>2036</v>
      </c>
      <c r="X60" s="41">
        <v>2120</v>
      </c>
      <c r="Y60" s="41">
        <v>2201</v>
      </c>
      <c r="Z60" s="41">
        <v>2267</v>
      </c>
      <c r="AA60" s="41">
        <v>2247</v>
      </c>
      <c r="AB60" s="41">
        <v>2402</v>
      </c>
      <c r="AC60" s="41">
        <v>2255</v>
      </c>
      <c r="AD60" s="41">
        <v>2437</v>
      </c>
      <c r="AE60" s="41">
        <v>2413</v>
      </c>
      <c r="AF60" s="41">
        <v>2212</v>
      </c>
      <c r="AG60" s="41">
        <v>2234</v>
      </c>
      <c r="AH60" s="41">
        <v>2244</v>
      </c>
      <c r="AI60" s="41">
        <v>2307</v>
      </c>
      <c r="AJ60" s="41">
        <v>2431</v>
      </c>
      <c r="AK60" s="41">
        <v>2799</v>
      </c>
      <c r="AL60" s="41">
        <v>2959</v>
      </c>
      <c r="AM60" s="41">
        <v>3342</v>
      </c>
      <c r="AN60" s="41">
        <v>3515</v>
      </c>
      <c r="AO60" s="41">
        <v>3406</v>
      </c>
      <c r="AP60" s="41">
        <v>3204</v>
      </c>
      <c r="AQ60" s="41">
        <v>2648</v>
      </c>
      <c r="AR60" s="1">
        <v>2863</v>
      </c>
      <c r="AS60" s="1">
        <v>2969</v>
      </c>
      <c r="AT60" s="1">
        <v>2975</v>
      </c>
      <c r="AU60" s="1">
        <v>3121</v>
      </c>
      <c r="AV60" s="1">
        <v>3079</v>
      </c>
      <c r="AW60" s="1">
        <v>3125</v>
      </c>
      <c r="AX60" s="1">
        <v>3193</v>
      </c>
      <c r="AY60" s="1">
        <v>3193</v>
      </c>
      <c r="AZ60" s="1">
        <v>3177</v>
      </c>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row>
    <row r="61" spans="1:158" s="3" customFormat="1">
      <c r="A61" s="37" t="s">
        <v>153</v>
      </c>
      <c r="B61" s="41"/>
      <c r="C61" s="41">
        <v>187</v>
      </c>
      <c r="D61" s="41">
        <v>207</v>
      </c>
      <c r="E61" s="41">
        <v>208</v>
      </c>
      <c r="F61" s="41">
        <v>191</v>
      </c>
      <c r="G61" s="41">
        <v>220</v>
      </c>
      <c r="H61" s="41">
        <v>204</v>
      </c>
      <c r="I61" s="41">
        <v>194</v>
      </c>
      <c r="J61" s="41">
        <v>204</v>
      </c>
      <c r="K61" s="41">
        <v>188</v>
      </c>
      <c r="L61" s="41">
        <v>189</v>
      </c>
      <c r="M61" s="41">
        <v>203</v>
      </c>
      <c r="N61" s="41">
        <v>175</v>
      </c>
      <c r="O61" s="41">
        <v>202</v>
      </c>
      <c r="P61" s="41">
        <v>178</v>
      </c>
      <c r="Q61" s="41">
        <v>179</v>
      </c>
      <c r="R61" s="41">
        <v>196</v>
      </c>
      <c r="S61" s="41">
        <v>183</v>
      </c>
      <c r="T61" s="41">
        <v>212</v>
      </c>
      <c r="U61" s="41">
        <v>237</v>
      </c>
      <c r="V61" s="41">
        <v>222</v>
      </c>
      <c r="W61" s="41">
        <v>190</v>
      </c>
      <c r="X61" s="41">
        <v>270</v>
      </c>
      <c r="Y61" s="41">
        <v>241</v>
      </c>
      <c r="Z61" s="41">
        <v>269</v>
      </c>
      <c r="AA61" s="41">
        <v>255</v>
      </c>
      <c r="AB61" s="41">
        <v>295</v>
      </c>
      <c r="AC61" s="41">
        <v>301</v>
      </c>
      <c r="AD61" s="41">
        <v>240</v>
      </c>
      <c r="AE61" s="41">
        <v>248</v>
      </c>
      <c r="AF61" s="41">
        <v>256</v>
      </c>
      <c r="AG61" s="41">
        <v>258</v>
      </c>
      <c r="AH61" s="41">
        <v>250</v>
      </c>
      <c r="AI61" s="41">
        <v>242</v>
      </c>
      <c r="AJ61" s="41">
        <v>246</v>
      </c>
      <c r="AK61" s="41">
        <v>249</v>
      </c>
      <c r="AL61" s="41">
        <v>243</v>
      </c>
      <c r="AM61" s="41">
        <v>301</v>
      </c>
      <c r="AN61" s="41">
        <v>279</v>
      </c>
      <c r="AO61" s="41">
        <v>322</v>
      </c>
      <c r="AP61" s="41">
        <v>336</v>
      </c>
      <c r="AQ61" s="41">
        <v>301</v>
      </c>
      <c r="AR61" s="1">
        <v>310</v>
      </c>
      <c r="AS61" s="1">
        <v>347</v>
      </c>
      <c r="AT61" s="1">
        <v>332</v>
      </c>
      <c r="AU61" s="1">
        <v>359</v>
      </c>
      <c r="AV61" s="1">
        <v>336</v>
      </c>
      <c r="AW61" s="1">
        <v>359</v>
      </c>
      <c r="AX61" s="1">
        <v>346</v>
      </c>
      <c r="AY61" s="1">
        <v>354</v>
      </c>
      <c r="AZ61" s="1">
        <v>362</v>
      </c>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row>
    <row r="62" spans="1:158" s="3" customFormat="1">
      <c r="A62" s="42" t="s">
        <v>156</v>
      </c>
      <c r="B62" s="43"/>
      <c r="C62" s="43">
        <v>33</v>
      </c>
      <c r="D62" s="43">
        <v>28</v>
      </c>
      <c r="E62" s="43">
        <v>35</v>
      </c>
      <c r="F62" s="43">
        <v>29</v>
      </c>
      <c r="G62" s="43">
        <v>38</v>
      </c>
      <c r="H62" s="43">
        <v>41</v>
      </c>
      <c r="I62" s="43">
        <v>39</v>
      </c>
      <c r="J62" s="43">
        <v>33</v>
      </c>
      <c r="K62" s="43">
        <v>32</v>
      </c>
      <c r="L62" s="43">
        <v>27</v>
      </c>
      <c r="M62" s="43">
        <v>32</v>
      </c>
      <c r="N62" s="43">
        <v>35</v>
      </c>
      <c r="O62" s="43">
        <v>26</v>
      </c>
      <c r="P62" s="43">
        <v>28</v>
      </c>
      <c r="Q62" s="43">
        <v>39</v>
      </c>
      <c r="R62" s="43">
        <v>29</v>
      </c>
      <c r="S62" s="43">
        <v>53</v>
      </c>
      <c r="T62" s="43">
        <v>41</v>
      </c>
      <c r="U62" s="43">
        <v>45</v>
      </c>
      <c r="V62" s="43">
        <v>49</v>
      </c>
      <c r="W62" s="43">
        <v>59</v>
      </c>
      <c r="X62" s="43">
        <v>48</v>
      </c>
      <c r="Y62" s="43">
        <v>47</v>
      </c>
      <c r="Z62" s="43">
        <v>53</v>
      </c>
      <c r="AA62" s="43">
        <v>62</v>
      </c>
      <c r="AB62" s="43">
        <v>54</v>
      </c>
      <c r="AC62" s="43">
        <v>61</v>
      </c>
      <c r="AD62" s="43">
        <v>52</v>
      </c>
      <c r="AE62" s="43">
        <v>62</v>
      </c>
      <c r="AF62" s="43">
        <v>52</v>
      </c>
      <c r="AG62" s="43">
        <v>65</v>
      </c>
      <c r="AH62" s="43">
        <v>62</v>
      </c>
      <c r="AI62" s="43">
        <v>57</v>
      </c>
      <c r="AJ62" s="43">
        <v>44</v>
      </c>
      <c r="AK62" s="43">
        <v>55</v>
      </c>
      <c r="AL62" s="43">
        <v>62</v>
      </c>
      <c r="AM62" s="43">
        <v>64</v>
      </c>
      <c r="AN62" s="43">
        <v>60</v>
      </c>
      <c r="AO62" s="43">
        <v>89</v>
      </c>
      <c r="AP62" s="43">
        <v>65</v>
      </c>
      <c r="AQ62" s="43">
        <v>77</v>
      </c>
      <c r="AR62" s="1">
        <v>58</v>
      </c>
      <c r="AS62" s="6">
        <v>64</v>
      </c>
      <c r="AT62" s="1">
        <v>87</v>
      </c>
      <c r="AU62" s="1">
        <v>78</v>
      </c>
      <c r="AV62" s="1">
        <v>86</v>
      </c>
      <c r="AW62" s="1">
        <v>86</v>
      </c>
      <c r="AX62" s="1">
        <v>76</v>
      </c>
      <c r="AY62" s="1">
        <v>70</v>
      </c>
      <c r="AZ62" s="1">
        <v>106</v>
      </c>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row>
    <row r="63" spans="1:158" s="3" customFormat="1">
      <c r="A63" s="45" t="s">
        <v>130</v>
      </c>
      <c r="B63" s="44"/>
      <c r="C63" s="44">
        <v>498</v>
      </c>
      <c r="D63" s="44">
        <v>576</v>
      </c>
      <c r="E63" s="44">
        <v>554</v>
      </c>
      <c r="F63" s="44">
        <v>567</v>
      </c>
      <c r="G63" s="44">
        <v>559</v>
      </c>
      <c r="H63" s="44">
        <v>568</v>
      </c>
      <c r="I63" s="44">
        <v>524</v>
      </c>
      <c r="J63" s="44">
        <v>553</v>
      </c>
      <c r="K63" s="44">
        <v>511</v>
      </c>
      <c r="L63" s="44">
        <v>512</v>
      </c>
      <c r="M63" s="44">
        <v>487</v>
      </c>
      <c r="N63" s="44">
        <v>535</v>
      </c>
      <c r="O63" s="44">
        <v>556</v>
      </c>
      <c r="P63" s="44">
        <v>571</v>
      </c>
      <c r="Q63" s="44">
        <v>531</v>
      </c>
      <c r="R63" s="44">
        <v>517</v>
      </c>
      <c r="S63" s="44">
        <v>556</v>
      </c>
      <c r="T63" s="44">
        <v>475</v>
      </c>
      <c r="U63" s="44">
        <v>542</v>
      </c>
      <c r="V63" s="44">
        <v>503</v>
      </c>
      <c r="W63" s="44">
        <v>540</v>
      </c>
      <c r="X63" s="44">
        <v>456</v>
      </c>
      <c r="Y63" s="44">
        <v>473</v>
      </c>
      <c r="Z63" s="44">
        <v>562</v>
      </c>
      <c r="AA63" s="44">
        <v>489</v>
      </c>
      <c r="AB63" s="44">
        <v>474</v>
      </c>
      <c r="AC63" s="44">
        <v>526</v>
      </c>
      <c r="AD63" s="44">
        <v>537</v>
      </c>
      <c r="AE63" s="44">
        <v>562</v>
      </c>
      <c r="AF63" s="44">
        <v>522</v>
      </c>
      <c r="AG63" s="44">
        <v>603</v>
      </c>
      <c r="AH63" s="44">
        <v>527</v>
      </c>
      <c r="AI63" s="44">
        <v>541</v>
      </c>
      <c r="AJ63" s="44">
        <v>579</v>
      </c>
      <c r="AK63" s="44">
        <v>576</v>
      </c>
      <c r="AL63" s="44">
        <v>613</v>
      </c>
      <c r="AM63" s="44">
        <v>635</v>
      </c>
      <c r="AN63" s="44">
        <v>628</v>
      </c>
      <c r="AO63" s="44">
        <v>636</v>
      </c>
      <c r="AP63" s="44">
        <v>694</v>
      </c>
      <c r="AQ63" s="44">
        <v>518</v>
      </c>
      <c r="AR63" s="44">
        <v>553</v>
      </c>
      <c r="AS63" s="44">
        <v>618</v>
      </c>
      <c r="AT63" s="44">
        <v>635</v>
      </c>
      <c r="AU63" s="44">
        <v>647</v>
      </c>
      <c r="AV63" s="44">
        <v>642</v>
      </c>
      <c r="AW63" s="44">
        <v>668</v>
      </c>
      <c r="AX63" s="44">
        <v>712</v>
      </c>
      <c r="AY63" s="44">
        <v>687</v>
      </c>
      <c r="AZ63" s="44">
        <v>670</v>
      </c>
    </row>
    <row r="64" spans="1:158" s="3" customFormat="1">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t="s">
        <v>161</v>
      </c>
      <c r="AH64" s="4"/>
      <c r="AI64" s="4"/>
      <c r="AJ64" s="4"/>
      <c r="AK64" s="4"/>
      <c r="AL64" s="4"/>
      <c r="AM64" s="1"/>
      <c r="AN64" s="1"/>
      <c r="AO64" s="1"/>
      <c r="AP64" s="1"/>
      <c r="AQ64" s="1"/>
    </row>
    <row r="65" spans="2:52" s="3" customFormat="1">
      <c r="B65" s="3" t="s">
        <v>73</v>
      </c>
      <c r="C65" s="3" t="s">
        <v>74</v>
      </c>
      <c r="U65" s="3" t="s">
        <v>73</v>
      </c>
      <c r="W65" s="3" t="s">
        <v>74</v>
      </c>
      <c r="AC65" s="3" t="s">
        <v>73</v>
      </c>
      <c r="AD65" s="3" t="s">
        <v>73</v>
      </c>
      <c r="AE65" s="3" t="s">
        <v>73</v>
      </c>
      <c r="AF65" s="3" t="s">
        <v>73</v>
      </c>
      <c r="AG65" s="3" t="s">
        <v>73</v>
      </c>
      <c r="AH65" s="3" t="s">
        <v>73</v>
      </c>
      <c r="AK65" s="3" t="s">
        <v>73</v>
      </c>
      <c r="AN65" s="3" t="s">
        <v>73</v>
      </c>
      <c r="AP65" s="3" t="s">
        <v>73</v>
      </c>
      <c r="AZ65" s="3" t="s">
        <v>73</v>
      </c>
    </row>
    <row r="66" spans="2:52" s="3" customFormat="1">
      <c r="B66" s="3" t="s">
        <v>30</v>
      </c>
      <c r="C66" s="3" t="s">
        <v>68</v>
      </c>
      <c r="U66" s="3" t="s">
        <v>184</v>
      </c>
      <c r="W66" s="3" t="s">
        <v>68</v>
      </c>
      <c r="AC66" s="3" t="s">
        <v>78</v>
      </c>
      <c r="AD66" s="3" t="s">
        <v>78</v>
      </c>
      <c r="AE66" s="3" t="s">
        <v>78</v>
      </c>
      <c r="AF66" s="3" t="s">
        <v>78</v>
      </c>
      <c r="AG66" s="3" t="s">
        <v>78</v>
      </c>
      <c r="AH66" s="3" t="s">
        <v>184</v>
      </c>
      <c r="AK66" s="3" t="s">
        <v>168</v>
      </c>
      <c r="AN66" s="3" t="s">
        <v>168</v>
      </c>
      <c r="AP66" s="1" t="s">
        <v>168</v>
      </c>
      <c r="AQ66" s="1"/>
      <c r="AZ66" s="1" t="s">
        <v>168</v>
      </c>
    </row>
    <row r="67" spans="2:52" s="3" customFormat="1">
      <c r="B67" s="3" t="s">
        <v>32</v>
      </c>
      <c r="C67" s="3" t="s">
        <v>69</v>
      </c>
      <c r="U67" s="3" t="s">
        <v>185</v>
      </c>
      <c r="W67" s="3" t="s">
        <v>69</v>
      </c>
      <c r="AC67" s="3" t="s">
        <v>79</v>
      </c>
      <c r="AD67" s="3" t="s">
        <v>79</v>
      </c>
      <c r="AE67" s="3" t="s">
        <v>79</v>
      </c>
      <c r="AF67" s="3" t="s">
        <v>79</v>
      </c>
      <c r="AG67" s="3" t="s">
        <v>79</v>
      </c>
      <c r="AH67" s="3" t="s">
        <v>185</v>
      </c>
      <c r="AK67" s="3" t="s">
        <v>169</v>
      </c>
      <c r="AN67" s="3" t="s">
        <v>169</v>
      </c>
      <c r="AP67" s="1" t="s">
        <v>169</v>
      </c>
      <c r="AQ67" s="1"/>
      <c r="AZ67" s="1" t="s">
        <v>169</v>
      </c>
    </row>
    <row r="68" spans="2:52" s="3" customFormat="1">
      <c r="B68" s="3" t="s">
        <v>34</v>
      </c>
      <c r="C68" s="3" t="s">
        <v>70</v>
      </c>
      <c r="U68" s="3" t="s">
        <v>186</v>
      </c>
      <c r="W68" s="3" t="s">
        <v>70</v>
      </c>
      <c r="AC68" s="3" t="s">
        <v>35</v>
      </c>
      <c r="AD68" s="3" t="s">
        <v>35</v>
      </c>
      <c r="AE68" s="3" t="s">
        <v>35</v>
      </c>
      <c r="AF68" s="3" t="s">
        <v>35</v>
      </c>
      <c r="AG68" s="3" t="s">
        <v>35</v>
      </c>
      <c r="AH68" s="3" t="s">
        <v>186</v>
      </c>
      <c r="AK68" s="3" t="s">
        <v>170</v>
      </c>
      <c r="AN68" s="3" t="s">
        <v>37</v>
      </c>
      <c r="AP68" s="1" t="s">
        <v>170</v>
      </c>
      <c r="AQ68" s="1"/>
      <c r="AZ68" s="1" t="s">
        <v>170</v>
      </c>
    </row>
    <row r="69" spans="2:52" s="3" customFormat="1">
      <c r="B69" s="3" t="s">
        <v>36</v>
      </c>
      <c r="U69" s="3" t="s">
        <v>187</v>
      </c>
      <c r="AC69" s="3" t="s">
        <v>37</v>
      </c>
      <c r="AD69" s="3" t="s">
        <v>37</v>
      </c>
      <c r="AE69" s="3" t="s">
        <v>37</v>
      </c>
      <c r="AF69" s="3" t="s">
        <v>37</v>
      </c>
      <c r="AG69" s="3" t="s">
        <v>37</v>
      </c>
      <c r="AH69" s="3" t="s">
        <v>187</v>
      </c>
      <c r="AK69" s="3" t="s">
        <v>39</v>
      </c>
      <c r="AN69" s="3" t="s">
        <v>39</v>
      </c>
      <c r="AP69" s="1" t="s">
        <v>39</v>
      </c>
      <c r="AQ69" s="1"/>
      <c r="AZ69" s="1" t="s">
        <v>39</v>
      </c>
    </row>
    <row r="70" spans="2:52" s="3" customFormat="1">
      <c r="B70" s="3" t="s">
        <v>38</v>
      </c>
      <c r="C70" s="3" t="s">
        <v>76</v>
      </c>
      <c r="U70" s="3" t="s">
        <v>188</v>
      </c>
      <c r="AC70" s="3" t="s">
        <v>39</v>
      </c>
      <c r="AD70" s="3" t="s">
        <v>39</v>
      </c>
      <c r="AE70" s="3" t="s">
        <v>39</v>
      </c>
      <c r="AF70" s="3" t="s">
        <v>39</v>
      </c>
      <c r="AG70" s="3" t="s">
        <v>39</v>
      </c>
      <c r="AH70" s="3" t="s">
        <v>188</v>
      </c>
      <c r="AK70" s="3" t="s">
        <v>171</v>
      </c>
      <c r="AN70" s="3" t="s">
        <v>171</v>
      </c>
      <c r="AP70" s="1" t="s">
        <v>171</v>
      </c>
      <c r="AQ70" s="1"/>
      <c r="AZ70" s="1" t="s">
        <v>171</v>
      </c>
    </row>
    <row r="71" spans="2:52" s="3" customFormat="1">
      <c r="B71" s="3" t="s">
        <v>41</v>
      </c>
      <c r="D71" s="3" t="s">
        <v>75</v>
      </c>
      <c r="U71" s="3" t="s">
        <v>189</v>
      </c>
      <c r="AC71" s="3" t="s">
        <v>80</v>
      </c>
      <c r="AD71" s="3" t="s">
        <v>80</v>
      </c>
      <c r="AE71" s="3" t="s">
        <v>80</v>
      </c>
      <c r="AF71" s="3" t="s">
        <v>80</v>
      </c>
      <c r="AG71" s="3" t="s">
        <v>80</v>
      </c>
      <c r="AH71" s="3" t="s">
        <v>189</v>
      </c>
      <c r="AK71" s="3" t="s">
        <v>172</v>
      </c>
      <c r="AN71" s="3" t="s">
        <v>172</v>
      </c>
      <c r="AP71" s="1" t="s">
        <v>214</v>
      </c>
      <c r="AQ71" s="1"/>
      <c r="AZ71" s="1" t="s">
        <v>214</v>
      </c>
    </row>
    <row r="72" spans="2:52" s="3" customFormat="1">
      <c r="B72" s="3" t="s">
        <v>44</v>
      </c>
      <c r="U72" s="3" t="s">
        <v>190</v>
      </c>
      <c r="AC72" s="3" t="s">
        <v>81</v>
      </c>
      <c r="AD72" s="3" t="s">
        <v>81</v>
      </c>
      <c r="AE72" s="3" t="s">
        <v>81</v>
      </c>
      <c r="AF72" s="3" t="s">
        <v>81</v>
      </c>
      <c r="AG72" s="3" t="s">
        <v>81</v>
      </c>
      <c r="AH72" s="3" t="s">
        <v>190</v>
      </c>
      <c r="AK72" s="3" t="s">
        <v>173</v>
      </c>
      <c r="AN72" s="3" t="s">
        <v>173</v>
      </c>
      <c r="AP72" s="1" t="s">
        <v>215</v>
      </c>
      <c r="AQ72" s="1"/>
      <c r="AZ72" s="1" t="s">
        <v>215</v>
      </c>
    </row>
    <row r="73" spans="2:52" s="3" customFormat="1">
      <c r="B73" s="3" t="s">
        <v>45</v>
      </c>
      <c r="U73" s="3" t="s">
        <v>191</v>
      </c>
      <c r="AC73" s="3" t="s">
        <v>39</v>
      </c>
      <c r="AD73" s="3" t="s">
        <v>39</v>
      </c>
      <c r="AE73" s="3" t="s">
        <v>39</v>
      </c>
      <c r="AF73" s="3" t="s">
        <v>39</v>
      </c>
      <c r="AG73" s="3" t="s">
        <v>39</v>
      </c>
      <c r="AH73" s="3" t="s">
        <v>191</v>
      </c>
      <c r="AK73" s="3" t="s">
        <v>174</v>
      </c>
      <c r="AN73" s="3" t="s">
        <v>174</v>
      </c>
      <c r="AP73" s="1" t="s">
        <v>216</v>
      </c>
      <c r="AQ73" s="1"/>
      <c r="AZ73" s="1" t="s">
        <v>216</v>
      </c>
    </row>
    <row r="74" spans="2:52" s="3" customFormat="1">
      <c r="B74" s="3" t="s">
        <v>34</v>
      </c>
      <c r="AC74" s="3" t="s">
        <v>43</v>
      </c>
      <c r="AD74" s="3" t="s">
        <v>43</v>
      </c>
      <c r="AE74" s="3" t="s">
        <v>43</v>
      </c>
      <c r="AF74" s="3" t="s">
        <v>43</v>
      </c>
      <c r="AG74" s="3" t="s">
        <v>43</v>
      </c>
      <c r="AK74" s="3" t="s">
        <v>175</v>
      </c>
      <c r="AN74" s="3" t="s">
        <v>175</v>
      </c>
      <c r="AP74" s="1" t="s">
        <v>217</v>
      </c>
      <c r="AQ74" s="1"/>
      <c r="AZ74" s="1" t="s">
        <v>237</v>
      </c>
    </row>
    <row r="75" spans="2:52" s="3" customFormat="1">
      <c r="B75" s="3" t="s">
        <v>46</v>
      </c>
      <c r="AC75" s="3" t="s">
        <v>82</v>
      </c>
      <c r="AD75" s="3" t="s">
        <v>82</v>
      </c>
      <c r="AE75" s="3" t="s">
        <v>162</v>
      </c>
      <c r="AF75" s="3" t="s">
        <v>163</v>
      </c>
      <c r="AG75" s="3" t="s">
        <v>163</v>
      </c>
      <c r="AK75" s="3" t="s">
        <v>176</v>
      </c>
      <c r="AN75" s="3" t="s">
        <v>176</v>
      </c>
      <c r="AP75" s="1" t="s">
        <v>176</v>
      </c>
      <c r="AQ75" s="1"/>
      <c r="AZ75" s="1" t="s">
        <v>176</v>
      </c>
    </row>
    <row r="76" spans="2:52" s="3" customFormat="1">
      <c r="AC76" s="3" t="s">
        <v>83</v>
      </c>
      <c r="AD76" s="3" t="s">
        <v>83</v>
      </c>
      <c r="AE76" s="3" t="s">
        <v>83</v>
      </c>
      <c r="AF76" s="3" t="s">
        <v>83</v>
      </c>
      <c r="AG76" s="3" t="s">
        <v>83</v>
      </c>
    </row>
    <row r="77" spans="2:52" s="3" customFormat="1">
      <c r="AC77" s="3" t="s">
        <v>84</v>
      </c>
      <c r="AD77" s="3" t="s">
        <v>84</v>
      </c>
      <c r="AE77" s="3" t="s">
        <v>67</v>
      </c>
    </row>
    <row r="78" spans="2:52" s="3" customFormat="1">
      <c r="AC78" s="3" t="s">
        <v>67</v>
      </c>
      <c r="AD78" s="3" t="s">
        <v>67</v>
      </c>
      <c r="AE78" s="3" t="s">
        <v>85</v>
      </c>
    </row>
    <row r="79" spans="2:52" s="3" customFormat="1">
      <c r="AC79" s="3" t="s">
        <v>85</v>
      </c>
      <c r="AD79" s="3" t="s">
        <v>85</v>
      </c>
    </row>
    <row r="80" spans="2:52" s="3" customFormat="1"/>
    <row r="81" spans="2:43" s="3" customFormat="1"/>
    <row r="82" spans="2:43" s="3" customFormat="1"/>
    <row r="83" spans="2:43" s="3" customFormat="1"/>
    <row r="84" spans="2:43" s="3" customFormat="1"/>
    <row r="85" spans="2:4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row>
    <row r="86" spans="2:4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row>
  </sheetData>
  <phoneticPr fontId="8" type="noConversion"/>
  <hyperlinks>
    <hyperlink ref="AP75" r:id="rId1" display="www.nces.ed.gov" xr:uid="{00000000-0004-0000-0100-000000000000}"/>
    <hyperlink ref="AK75" r:id="rId2" display="www.nces.ed.gov" xr:uid="{00000000-0004-0000-0100-000001000000}"/>
    <hyperlink ref="AZ75" r:id="rId3" display="www.nces.ed.gov" xr:uid="{F2B40267-BD8D-445B-99F1-8F0C64019E06}"/>
  </hyperlinks>
  <pageMargins left="0.75" right="0.75" top="1" bottom="1" header="0.5" footer="0.5"/>
  <pageSetup orientation="portrait" r:id="rId4"/>
  <headerFooter alignWithMargins="0"/>
  <legacyDrawing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62"/>
  </sheetPr>
  <dimension ref="A1:AI84"/>
  <sheetViews>
    <sheetView zoomScale="70" zoomScaleNormal="70" workbookViewId="0">
      <pane xSplit="1" ySplit="4" topLeftCell="J56" activePane="bottomRight" state="frozen"/>
      <selection pane="topRight" activeCell="B1" sqref="B1"/>
      <selection pane="bottomLeft" activeCell="A5" sqref="A5"/>
      <selection pane="bottomRight" activeCell="B5" sqref="B5"/>
    </sheetView>
  </sheetViews>
  <sheetFormatPr defaultColWidth="9.1796875" defaultRowHeight="12.5"/>
  <cols>
    <col min="1" max="1" width="20.81640625" style="1" customWidth="1"/>
    <col min="2" max="147" width="8.81640625" style="1" customWidth="1"/>
    <col min="148" max="16384" width="9.1796875" style="1"/>
  </cols>
  <sheetData>
    <row r="1" spans="1:35" ht="13">
      <c r="A1" s="7" t="s">
        <v>96</v>
      </c>
    </row>
    <row r="2" spans="1:35">
      <c r="V2" s="6"/>
      <c r="W2" s="6"/>
      <c r="X2" s="6"/>
      <c r="Y2" s="6"/>
    </row>
    <row r="3" spans="1:35" s="46" customFormat="1" ht="13">
      <c r="A3" s="31"/>
      <c r="B3" s="31" t="s">
        <v>10</v>
      </c>
      <c r="C3" s="31" t="s">
        <v>63</v>
      </c>
      <c r="D3" s="31" t="s">
        <v>13</v>
      </c>
      <c r="E3" s="31" t="s">
        <v>65</v>
      </c>
      <c r="F3" s="31" t="s">
        <v>14</v>
      </c>
      <c r="G3" s="31" t="s">
        <v>66</v>
      </c>
      <c r="H3" s="31" t="s">
        <v>48</v>
      </c>
      <c r="I3" s="31" t="s">
        <v>77</v>
      </c>
      <c r="J3" s="31" t="s">
        <v>123</v>
      </c>
      <c r="K3" s="31" t="s">
        <v>159</v>
      </c>
      <c r="L3" s="31" t="s">
        <v>160</v>
      </c>
      <c r="M3" s="31" t="s">
        <v>167</v>
      </c>
      <c r="N3" s="31" t="s">
        <v>178</v>
      </c>
      <c r="O3" s="31" t="s">
        <v>179</v>
      </c>
      <c r="P3" s="31" t="s">
        <v>181</v>
      </c>
      <c r="Q3" s="31" t="s">
        <v>192</v>
      </c>
      <c r="R3" s="31" t="s">
        <v>205</v>
      </c>
      <c r="S3" s="31" t="s">
        <v>207</v>
      </c>
      <c r="T3" s="31" t="s">
        <v>222</v>
      </c>
      <c r="U3" s="31" t="s">
        <v>223</v>
      </c>
      <c r="V3" s="46" t="s">
        <v>224</v>
      </c>
      <c r="W3" s="46" t="s">
        <v>226</v>
      </c>
      <c r="X3" s="120" t="s">
        <v>228</v>
      </c>
      <c r="Y3" s="46" t="s">
        <v>229</v>
      </c>
      <c r="Z3" s="118" t="s">
        <v>231</v>
      </c>
      <c r="AA3" s="118" t="s">
        <v>232</v>
      </c>
      <c r="AB3" s="95" t="s">
        <v>235</v>
      </c>
      <c r="AC3" s="95" t="s">
        <v>236</v>
      </c>
    </row>
    <row r="4" spans="1:35">
      <c r="A4" s="35" t="s">
        <v>208</v>
      </c>
      <c r="B4" s="36">
        <f t="shared" ref="B4:S4" si="0">B5+B23+B38+B52+B63</f>
        <v>21846</v>
      </c>
      <c r="C4" s="36">
        <f t="shared" si="0"/>
        <v>22424</v>
      </c>
      <c r="D4" s="36">
        <f t="shared" si="0"/>
        <v>26803</v>
      </c>
      <c r="E4" s="36">
        <f t="shared" si="0"/>
        <v>27361</v>
      </c>
      <c r="F4" s="36">
        <f t="shared" si="0"/>
        <v>28485</v>
      </c>
      <c r="G4" s="36">
        <f t="shared" si="0"/>
        <v>28873</v>
      </c>
      <c r="H4" s="36">
        <f t="shared" si="0"/>
        <v>29458</v>
      </c>
      <c r="I4" s="36">
        <f t="shared" si="0"/>
        <v>29798</v>
      </c>
      <c r="J4" s="36">
        <f t="shared" si="0"/>
        <v>29715</v>
      </c>
      <c r="K4" s="36">
        <f t="shared" si="0"/>
        <v>28134</v>
      </c>
      <c r="L4" s="36">
        <f t="shared" si="0"/>
        <v>28408</v>
      </c>
      <c r="M4" s="36">
        <f t="shared" si="0"/>
        <v>28069</v>
      </c>
      <c r="N4" s="36">
        <f t="shared" si="0"/>
        <v>29706</v>
      </c>
      <c r="O4" s="36">
        <f t="shared" si="0"/>
        <v>31743</v>
      </c>
      <c r="P4" s="36">
        <f t="shared" si="0"/>
        <v>33767</v>
      </c>
      <c r="Q4" s="36">
        <f t="shared" si="0"/>
        <v>36230</v>
      </c>
      <c r="R4" s="36">
        <f t="shared" si="0"/>
        <v>37784</v>
      </c>
      <c r="S4" s="36">
        <f t="shared" si="0"/>
        <v>38517</v>
      </c>
      <c r="T4" s="36">
        <f t="shared" ref="T4:U4" si="1">T5+T23+T38+T52+T63</f>
        <v>36746</v>
      </c>
      <c r="U4" s="36">
        <f t="shared" si="1"/>
        <v>38115</v>
      </c>
      <c r="V4" s="36">
        <f t="shared" ref="V4:W4" si="2">V5+V23+V38+V52+V63</f>
        <v>39697</v>
      </c>
      <c r="W4" s="36">
        <f t="shared" si="2"/>
        <v>40449</v>
      </c>
      <c r="X4" s="36">
        <f t="shared" ref="X4:AC4" si="3">X5+X23+X38+X52+X63</f>
        <v>41751</v>
      </c>
      <c r="Y4" s="36">
        <f t="shared" si="3"/>
        <v>42926</v>
      </c>
      <c r="Z4" s="36">
        <f t="shared" si="3"/>
        <v>42769</v>
      </c>
      <c r="AA4" s="36">
        <f t="shared" si="3"/>
        <v>43598</v>
      </c>
      <c r="AB4" s="36">
        <f t="shared" si="3"/>
        <v>44103</v>
      </c>
      <c r="AC4" s="36">
        <f t="shared" si="3"/>
        <v>44701</v>
      </c>
      <c r="AD4" s="5"/>
      <c r="AE4" s="5"/>
      <c r="AF4" s="5"/>
      <c r="AG4" s="5"/>
      <c r="AH4" s="5"/>
      <c r="AI4" s="5"/>
    </row>
    <row r="5" spans="1:35">
      <c r="A5" s="37" t="s">
        <v>50</v>
      </c>
      <c r="B5" s="38">
        <f t="shared" ref="B5:S5" si="4">SUM(B7:B22)</f>
        <v>6699</v>
      </c>
      <c r="C5" s="38">
        <f t="shared" si="4"/>
        <v>7020</v>
      </c>
      <c r="D5" s="38">
        <f t="shared" si="4"/>
        <v>8648</v>
      </c>
      <c r="E5" s="38">
        <f t="shared" si="4"/>
        <v>8876</v>
      </c>
      <c r="F5" s="38">
        <f t="shared" si="4"/>
        <v>9379</v>
      </c>
      <c r="G5" s="38">
        <f t="shared" si="4"/>
        <v>9462</v>
      </c>
      <c r="H5" s="38">
        <f t="shared" si="4"/>
        <v>9879</v>
      </c>
      <c r="I5" s="38">
        <f t="shared" si="4"/>
        <v>10059</v>
      </c>
      <c r="J5" s="38">
        <f t="shared" si="4"/>
        <v>10035</v>
      </c>
      <c r="K5" s="38">
        <f t="shared" si="4"/>
        <v>9834</v>
      </c>
      <c r="L5" s="38">
        <f t="shared" si="4"/>
        <v>9943</v>
      </c>
      <c r="M5" s="38">
        <f t="shared" si="4"/>
        <v>10004</v>
      </c>
      <c r="N5" s="38">
        <f t="shared" si="4"/>
        <v>10885</v>
      </c>
      <c r="O5" s="38">
        <f t="shared" si="4"/>
        <v>11648</v>
      </c>
      <c r="P5" s="38">
        <f t="shared" si="4"/>
        <v>12257</v>
      </c>
      <c r="Q5" s="38">
        <f t="shared" si="4"/>
        <v>13433</v>
      </c>
      <c r="R5" s="38">
        <f t="shared" si="4"/>
        <v>14206</v>
      </c>
      <c r="S5" s="38">
        <f t="shared" si="4"/>
        <v>14627</v>
      </c>
      <c r="T5" s="38">
        <f t="shared" ref="T5:U5" si="5">SUM(T7:T22)</f>
        <v>14014</v>
      </c>
      <c r="U5" s="38">
        <f t="shared" si="5"/>
        <v>14531</v>
      </c>
      <c r="V5" s="38">
        <f t="shared" ref="V5:W5" si="6">SUM(V7:V22)</f>
        <v>15438</v>
      </c>
      <c r="W5" s="38">
        <f t="shared" si="6"/>
        <v>15361</v>
      </c>
      <c r="X5" s="38">
        <f t="shared" ref="X5:AC5" si="7">SUM(X7:X22)</f>
        <v>16083</v>
      </c>
      <c r="Y5" s="38">
        <f t="shared" si="7"/>
        <v>16632</v>
      </c>
      <c r="Z5" s="38">
        <f t="shared" si="7"/>
        <v>16965</v>
      </c>
      <c r="AA5" s="38">
        <f t="shared" si="7"/>
        <v>17367</v>
      </c>
      <c r="AB5" s="38">
        <f t="shared" si="7"/>
        <v>17631</v>
      </c>
      <c r="AC5" s="38">
        <f t="shared" si="7"/>
        <v>17874</v>
      </c>
    </row>
    <row r="6" spans="1:35" s="11" customFormat="1">
      <c r="A6" s="39" t="s">
        <v>213</v>
      </c>
      <c r="B6" s="40">
        <f t="shared" ref="B6" si="8">(B5/B4)*100</f>
        <v>30.664652567975832</v>
      </c>
      <c r="C6" s="40">
        <f t="shared" ref="C6" si="9">(C5/C4)*100</f>
        <v>31.305743845879412</v>
      </c>
      <c r="D6" s="40">
        <f t="shared" ref="D6" si="10">(D5/D4)*100</f>
        <v>32.265044957653991</v>
      </c>
      <c r="E6" s="40">
        <f t="shared" ref="E6" si="11">(E5/E4)*100</f>
        <v>32.440334783085412</v>
      </c>
      <c r="F6" s="40">
        <f t="shared" ref="F6" si="12">(F5/F4)*100</f>
        <v>32.926101456907141</v>
      </c>
      <c r="G6" s="40">
        <f t="shared" ref="G6" si="13">(G5/G4)*100</f>
        <v>32.771101028642676</v>
      </c>
      <c r="H6" s="40">
        <f t="shared" ref="H6" si="14">(H5/H4)*100</f>
        <v>33.535881594134018</v>
      </c>
      <c r="I6" s="40">
        <f t="shared" ref="I6" si="15">(I5/I4)*100</f>
        <v>33.757299147593798</v>
      </c>
      <c r="J6" s="40">
        <f t="shared" ref="J6" si="16">(J5/J4)*100</f>
        <v>33.770822816759214</v>
      </c>
      <c r="K6" s="40">
        <f t="shared" ref="K6" si="17">(K5/K4)*100</f>
        <v>34.954148005971426</v>
      </c>
      <c r="L6" s="40">
        <f t="shared" ref="L6" si="18">(L5/L4)*100</f>
        <v>35.000704027034644</v>
      </c>
      <c r="M6" s="40">
        <f t="shared" ref="M6" si="19">(M5/M4)*100</f>
        <v>35.640742456090344</v>
      </c>
      <c r="N6" s="40">
        <f t="shared" ref="N6" si="20">(N5/N4)*100</f>
        <v>36.642429138894499</v>
      </c>
      <c r="O6" s="40">
        <f t="shared" ref="O6" si="21">(O5/O4)*100</f>
        <v>36.694704344264878</v>
      </c>
      <c r="P6" s="40">
        <f t="shared" ref="P6" si="22">(P5/P4)*100</f>
        <v>36.298753220599991</v>
      </c>
      <c r="Q6" s="40">
        <f t="shared" ref="Q6" si="23">(Q5/Q4)*100</f>
        <v>37.077008004416228</v>
      </c>
      <c r="R6" s="40">
        <f t="shared" ref="R6" si="24">(R5/R4)*100</f>
        <v>37.597925047639215</v>
      </c>
      <c r="S6" s="40">
        <f t="shared" ref="S6:T6" si="25">(S5/S4)*100</f>
        <v>37.975439416361603</v>
      </c>
      <c r="T6" s="40">
        <f t="shared" si="25"/>
        <v>38.137484352038314</v>
      </c>
      <c r="U6" s="40">
        <f t="shared" ref="U6:V6" si="26">(U5/U4)*100</f>
        <v>38.124098124098118</v>
      </c>
      <c r="V6" s="40">
        <f t="shared" si="26"/>
        <v>38.889588633901809</v>
      </c>
      <c r="W6" s="40">
        <f t="shared" ref="W6:AC6" si="27">(W5/W4)*100</f>
        <v>37.976216964572671</v>
      </c>
      <c r="X6" s="40">
        <f t="shared" si="27"/>
        <v>38.5212330243587</v>
      </c>
      <c r="Y6" s="40">
        <f t="shared" si="27"/>
        <v>38.745748497414155</v>
      </c>
      <c r="Z6" s="40">
        <f t="shared" si="27"/>
        <v>39.666580934789216</v>
      </c>
      <c r="AA6" s="40">
        <f t="shared" si="27"/>
        <v>39.834396073214364</v>
      </c>
      <c r="AB6" s="40">
        <f t="shared" si="27"/>
        <v>39.97687232161077</v>
      </c>
      <c r="AC6" s="40">
        <f t="shared" si="27"/>
        <v>39.985682646920651</v>
      </c>
      <c r="AD6" s="10"/>
    </row>
    <row r="7" spans="1:35">
      <c r="A7" s="37" t="s">
        <v>15</v>
      </c>
      <c r="B7" s="41">
        <v>279</v>
      </c>
      <c r="C7" s="41">
        <v>289</v>
      </c>
      <c r="D7" s="41">
        <v>373</v>
      </c>
      <c r="E7" s="41">
        <v>404</v>
      </c>
      <c r="F7" s="41">
        <v>474</v>
      </c>
      <c r="G7" s="41">
        <v>435</v>
      </c>
      <c r="H7" s="41">
        <v>531</v>
      </c>
      <c r="I7" s="41">
        <v>555</v>
      </c>
      <c r="J7" s="41">
        <v>555</v>
      </c>
      <c r="K7" s="41">
        <v>484</v>
      </c>
      <c r="L7" s="41">
        <v>519</v>
      </c>
      <c r="M7" s="41">
        <v>528</v>
      </c>
      <c r="N7" s="41">
        <v>479</v>
      </c>
      <c r="O7" s="41">
        <v>529</v>
      </c>
      <c r="P7" s="41">
        <v>553</v>
      </c>
      <c r="Q7" s="41">
        <v>685</v>
      </c>
      <c r="R7" s="41">
        <v>736</v>
      </c>
      <c r="S7" s="41">
        <v>751</v>
      </c>
      <c r="T7" s="41">
        <v>561</v>
      </c>
      <c r="U7" s="1">
        <v>601</v>
      </c>
      <c r="V7" s="1">
        <v>673</v>
      </c>
      <c r="W7" s="1">
        <v>670</v>
      </c>
      <c r="X7" s="1">
        <v>687</v>
      </c>
      <c r="Y7" s="1">
        <v>748</v>
      </c>
      <c r="Z7" s="1">
        <v>738</v>
      </c>
      <c r="AA7" s="1">
        <v>753</v>
      </c>
      <c r="AB7" s="1">
        <v>725</v>
      </c>
      <c r="AC7" s="1">
        <v>721</v>
      </c>
    </row>
    <row r="8" spans="1:35">
      <c r="A8" s="37" t="s">
        <v>16</v>
      </c>
      <c r="B8" s="41">
        <v>112</v>
      </c>
      <c r="C8" s="41">
        <v>101</v>
      </c>
      <c r="D8" s="41">
        <v>112</v>
      </c>
      <c r="E8" s="41">
        <v>120</v>
      </c>
      <c r="F8" s="41">
        <v>146</v>
      </c>
      <c r="G8" s="41">
        <v>155</v>
      </c>
      <c r="H8" s="41">
        <v>148</v>
      </c>
      <c r="I8" s="41">
        <v>149</v>
      </c>
      <c r="J8" s="41">
        <v>162</v>
      </c>
      <c r="K8" s="41">
        <v>125</v>
      </c>
      <c r="L8" s="41">
        <v>134</v>
      </c>
      <c r="M8" s="41">
        <v>180</v>
      </c>
      <c r="N8" s="41">
        <v>219</v>
      </c>
      <c r="O8" s="41">
        <v>249</v>
      </c>
      <c r="P8" s="41">
        <v>222</v>
      </c>
      <c r="Q8" s="41">
        <v>215</v>
      </c>
      <c r="R8" s="41">
        <v>234</v>
      </c>
      <c r="S8" s="41">
        <v>288</v>
      </c>
      <c r="T8" s="41">
        <v>278</v>
      </c>
      <c r="U8" s="1">
        <v>287</v>
      </c>
      <c r="V8" s="1">
        <v>257</v>
      </c>
      <c r="W8" s="1">
        <v>286</v>
      </c>
      <c r="X8" s="1">
        <v>265</v>
      </c>
      <c r="Y8" s="1">
        <v>285</v>
      </c>
      <c r="Z8" s="1">
        <v>301</v>
      </c>
      <c r="AA8" s="1">
        <v>282</v>
      </c>
      <c r="AB8" s="1">
        <v>328</v>
      </c>
      <c r="AC8" s="1">
        <v>317</v>
      </c>
    </row>
    <row r="9" spans="1:35">
      <c r="A9" s="37" t="s">
        <v>49</v>
      </c>
      <c r="B9" s="41">
        <v>96</v>
      </c>
      <c r="C9" s="41">
        <v>107</v>
      </c>
      <c r="D9" s="41">
        <v>167</v>
      </c>
      <c r="E9" s="41">
        <v>144</v>
      </c>
      <c r="F9" s="41">
        <v>121</v>
      </c>
      <c r="G9" s="41">
        <v>139</v>
      </c>
      <c r="H9" s="41">
        <v>157</v>
      </c>
      <c r="I9" s="41">
        <v>162</v>
      </c>
      <c r="J9" s="41">
        <v>142</v>
      </c>
      <c r="K9" s="41">
        <v>144</v>
      </c>
      <c r="L9" s="41">
        <v>164</v>
      </c>
      <c r="M9" s="41">
        <v>135</v>
      </c>
      <c r="N9" s="41">
        <v>177</v>
      </c>
      <c r="O9" s="41">
        <v>189</v>
      </c>
      <c r="P9" s="41">
        <v>222</v>
      </c>
      <c r="Q9" s="41">
        <v>226</v>
      </c>
      <c r="R9" s="41">
        <v>212</v>
      </c>
      <c r="S9" s="41">
        <v>265</v>
      </c>
      <c r="T9" s="41">
        <v>183</v>
      </c>
      <c r="U9" s="1">
        <v>216</v>
      </c>
      <c r="V9" s="1">
        <v>243</v>
      </c>
      <c r="W9" s="1">
        <v>219</v>
      </c>
      <c r="X9" s="1">
        <v>213</v>
      </c>
      <c r="Y9" s="1">
        <v>243</v>
      </c>
      <c r="Z9" s="1">
        <v>306</v>
      </c>
      <c r="AA9" s="1">
        <v>282</v>
      </c>
      <c r="AB9" s="1">
        <v>279</v>
      </c>
      <c r="AC9" s="1">
        <v>277</v>
      </c>
    </row>
    <row r="10" spans="1:35">
      <c r="A10" s="37" t="s">
        <v>17</v>
      </c>
      <c r="B10" s="41">
        <v>614</v>
      </c>
      <c r="C10" s="41">
        <v>672</v>
      </c>
      <c r="D10" s="41">
        <v>829</v>
      </c>
      <c r="E10" s="41">
        <v>845</v>
      </c>
      <c r="F10" s="41">
        <v>959</v>
      </c>
      <c r="G10" s="41">
        <v>961</v>
      </c>
      <c r="H10" s="41">
        <v>1058</v>
      </c>
      <c r="I10" s="41">
        <v>1041</v>
      </c>
      <c r="J10" s="41">
        <v>1121</v>
      </c>
      <c r="K10" s="41">
        <v>1064</v>
      </c>
      <c r="L10" s="41">
        <v>1115</v>
      </c>
      <c r="M10" s="41">
        <v>1315</v>
      </c>
      <c r="N10" s="41">
        <v>1458</v>
      </c>
      <c r="O10" s="41">
        <v>1518</v>
      </c>
      <c r="P10" s="41">
        <v>1618</v>
      </c>
      <c r="Q10" s="41">
        <v>1825</v>
      </c>
      <c r="R10" s="41">
        <v>1944</v>
      </c>
      <c r="S10" s="41">
        <v>1968</v>
      </c>
      <c r="T10" s="41">
        <v>1834</v>
      </c>
      <c r="U10" s="5">
        <v>1996</v>
      </c>
      <c r="V10" s="5">
        <v>1931</v>
      </c>
      <c r="W10" s="5">
        <v>1969</v>
      </c>
      <c r="X10" s="5">
        <v>2128</v>
      </c>
      <c r="Y10" s="5">
        <v>2123</v>
      </c>
      <c r="Z10" s="4">
        <v>2032</v>
      </c>
      <c r="AA10" s="4">
        <v>2099</v>
      </c>
      <c r="AB10" s="4">
        <v>2214</v>
      </c>
      <c r="AC10" s="4">
        <v>2195</v>
      </c>
      <c r="AD10" s="5"/>
    </row>
    <row r="11" spans="1:35">
      <c r="A11" s="37" t="s">
        <v>18</v>
      </c>
      <c r="B11" s="41">
        <v>474</v>
      </c>
      <c r="C11" s="41">
        <v>553</v>
      </c>
      <c r="D11" s="41">
        <v>669</v>
      </c>
      <c r="E11" s="41">
        <v>679</v>
      </c>
      <c r="F11" s="41">
        <v>632</v>
      </c>
      <c r="G11" s="41">
        <v>712</v>
      </c>
      <c r="H11" s="41">
        <v>740</v>
      </c>
      <c r="I11" s="41">
        <v>692</v>
      </c>
      <c r="J11" s="41">
        <v>808</v>
      </c>
      <c r="K11" s="41">
        <v>771</v>
      </c>
      <c r="L11" s="41">
        <v>721</v>
      </c>
      <c r="M11" s="41">
        <v>811</v>
      </c>
      <c r="N11" s="41">
        <v>877</v>
      </c>
      <c r="O11" s="41">
        <v>950</v>
      </c>
      <c r="P11" s="41">
        <v>978</v>
      </c>
      <c r="Q11" s="41">
        <v>1119</v>
      </c>
      <c r="R11" s="41">
        <v>1244</v>
      </c>
      <c r="S11" s="41">
        <v>1367</v>
      </c>
      <c r="T11" s="41">
        <v>1274</v>
      </c>
      <c r="U11" s="1">
        <v>1323</v>
      </c>
      <c r="V11" s="1">
        <v>1301</v>
      </c>
      <c r="W11" s="1">
        <v>1258</v>
      </c>
      <c r="X11" s="1">
        <v>1359</v>
      </c>
      <c r="Y11" s="1">
        <v>1431</v>
      </c>
      <c r="Z11" s="96">
        <v>1456</v>
      </c>
      <c r="AA11" s="96">
        <v>1518</v>
      </c>
      <c r="AB11" s="96">
        <v>1568</v>
      </c>
      <c r="AC11" s="96">
        <v>1511</v>
      </c>
    </row>
    <row r="12" spans="1:35">
      <c r="A12" s="37" t="s">
        <v>19</v>
      </c>
      <c r="B12" s="41">
        <v>179</v>
      </c>
      <c r="C12" s="41">
        <v>205</v>
      </c>
      <c r="D12" s="41">
        <v>257</v>
      </c>
      <c r="E12" s="41">
        <v>246</v>
      </c>
      <c r="F12" s="41">
        <v>287</v>
      </c>
      <c r="G12" s="41">
        <v>284</v>
      </c>
      <c r="H12" s="41">
        <v>305</v>
      </c>
      <c r="I12" s="41">
        <v>303</v>
      </c>
      <c r="J12" s="41">
        <v>308</v>
      </c>
      <c r="K12" s="41">
        <v>282</v>
      </c>
      <c r="L12" s="41">
        <v>325</v>
      </c>
      <c r="M12" s="41">
        <v>297</v>
      </c>
      <c r="N12" s="41">
        <v>339</v>
      </c>
      <c r="O12" s="41">
        <v>388</v>
      </c>
      <c r="P12" s="41">
        <v>400</v>
      </c>
      <c r="Q12" s="41">
        <v>427</v>
      </c>
      <c r="R12" s="41">
        <v>459</v>
      </c>
      <c r="S12" s="41">
        <v>454</v>
      </c>
      <c r="T12" s="41">
        <v>426</v>
      </c>
      <c r="U12" s="1">
        <v>419</v>
      </c>
      <c r="V12" s="1">
        <v>521</v>
      </c>
      <c r="W12" s="1">
        <v>456</v>
      </c>
      <c r="X12" s="1">
        <v>488</v>
      </c>
      <c r="Y12" s="1">
        <v>488</v>
      </c>
      <c r="Z12" s="1">
        <v>467</v>
      </c>
      <c r="AA12" s="1">
        <v>493</v>
      </c>
      <c r="AB12" s="1">
        <v>482</v>
      </c>
      <c r="AC12" s="1">
        <v>520</v>
      </c>
    </row>
    <row r="13" spans="1:35">
      <c r="A13" s="37" t="s">
        <v>20</v>
      </c>
      <c r="B13" s="41">
        <v>224</v>
      </c>
      <c r="C13" s="41">
        <v>244</v>
      </c>
      <c r="D13" s="41">
        <v>310</v>
      </c>
      <c r="E13" s="41">
        <v>306</v>
      </c>
      <c r="F13" s="41">
        <v>340</v>
      </c>
      <c r="G13" s="41">
        <v>373</v>
      </c>
      <c r="H13" s="41">
        <v>386</v>
      </c>
      <c r="I13" s="41">
        <v>381</v>
      </c>
      <c r="J13" s="41">
        <v>413</v>
      </c>
      <c r="K13" s="41">
        <v>401</v>
      </c>
      <c r="L13" s="41">
        <v>460</v>
      </c>
      <c r="M13" s="41">
        <v>386</v>
      </c>
      <c r="N13" s="41">
        <v>444</v>
      </c>
      <c r="O13" s="41">
        <v>425</v>
      </c>
      <c r="P13" s="41">
        <v>425</v>
      </c>
      <c r="Q13" s="41">
        <v>446</v>
      </c>
      <c r="R13" s="41">
        <v>435</v>
      </c>
      <c r="S13" s="41">
        <v>508</v>
      </c>
      <c r="T13" s="41">
        <v>509</v>
      </c>
      <c r="U13" s="1">
        <v>447</v>
      </c>
      <c r="V13" s="1">
        <v>583</v>
      </c>
      <c r="W13" s="1">
        <v>560</v>
      </c>
      <c r="X13" s="1">
        <v>569</v>
      </c>
      <c r="Y13" s="1">
        <v>562</v>
      </c>
      <c r="Z13" s="1">
        <v>574</v>
      </c>
      <c r="AA13" s="1">
        <v>554</v>
      </c>
      <c r="AB13" s="1">
        <v>527</v>
      </c>
      <c r="AC13" s="1">
        <v>572</v>
      </c>
    </row>
    <row r="14" spans="1:35">
      <c r="A14" s="37" t="s">
        <v>21</v>
      </c>
      <c r="B14" s="41">
        <v>445</v>
      </c>
      <c r="C14" s="41">
        <v>411</v>
      </c>
      <c r="D14" s="41">
        <v>600</v>
      </c>
      <c r="E14" s="41">
        <v>605</v>
      </c>
      <c r="F14" s="41">
        <v>638</v>
      </c>
      <c r="G14" s="41">
        <v>587</v>
      </c>
      <c r="H14" s="41">
        <v>578</v>
      </c>
      <c r="I14" s="41">
        <v>631</v>
      </c>
      <c r="J14" s="41">
        <v>606</v>
      </c>
      <c r="K14" s="41">
        <v>623</v>
      </c>
      <c r="L14" s="41">
        <v>592</v>
      </c>
      <c r="M14" s="41">
        <v>584</v>
      </c>
      <c r="N14" s="41">
        <v>687</v>
      </c>
      <c r="O14" s="41">
        <v>816</v>
      </c>
      <c r="P14" s="41">
        <v>930</v>
      </c>
      <c r="Q14" s="41">
        <v>951</v>
      </c>
      <c r="R14" s="41">
        <v>989</v>
      </c>
      <c r="S14" s="41">
        <v>821</v>
      </c>
      <c r="T14" s="41">
        <v>845</v>
      </c>
      <c r="U14" s="1">
        <v>820</v>
      </c>
      <c r="V14" s="1">
        <v>869</v>
      </c>
      <c r="W14" s="1">
        <v>955</v>
      </c>
      <c r="X14" s="1">
        <v>881</v>
      </c>
      <c r="Y14" s="1">
        <v>949</v>
      </c>
      <c r="Z14" s="1">
        <v>851</v>
      </c>
      <c r="AA14" s="1">
        <v>860</v>
      </c>
      <c r="AB14" s="1">
        <v>956</v>
      </c>
      <c r="AC14" s="1">
        <v>893</v>
      </c>
    </row>
    <row r="15" spans="1:35">
      <c r="A15" s="37" t="s">
        <v>22</v>
      </c>
      <c r="B15" s="41">
        <v>259</v>
      </c>
      <c r="C15" s="41">
        <v>241</v>
      </c>
      <c r="D15" s="41">
        <v>288</v>
      </c>
      <c r="E15" s="41">
        <v>288</v>
      </c>
      <c r="F15" s="41">
        <v>319</v>
      </c>
      <c r="G15" s="41">
        <v>340</v>
      </c>
      <c r="H15" s="41">
        <v>352</v>
      </c>
      <c r="I15" s="41">
        <v>326</v>
      </c>
      <c r="J15" s="41">
        <v>351</v>
      </c>
      <c r="K15" s="41">
        <v>351</v>
      </c>
      <c r="L15" s="41">
        <v>347</v>
      </c>
      <c r="M15" s="41">
        <v>340</v>
      </c>
      <c r="N15" s="41">
        <v>357</v>
      </c>
      <c r="O15" s="41">
        <v>373</v>
      </c>
      <c r="P15" s="41">
        <v>374</v>
      </c>
      <c r="Q15" s="41">
        <v>437</v>
      </c>
      <c r="R15" s="41">
        <v>473</v>
      </c>
      <c r="S15" s="41">
        <v>433</v>
      </c>
      <c r="T15" s="41">
        <v>474</v>
      </c>
      <c r="U15" s="1">
        <v>460</v>
      </c>
      <c r="V15" s="1">
        <v>502</v>
      </c>
      <c r="W15" s="1">
        <v>484</v>
      </c>
      <c r="X15" s="1">
        <v>451</v>
      </c>
      <c r="Y15" s="1">
        <v>504</v>
      </c>
      <c r="Z15" s="1">
        <v>507</v>
      </c>
      <c r="AA15" s="1">
        <v>548</v>
      </c>
      <c r="AB15" s="1">
        <v>552</v>
      </c>
      <c r="AC15" s="1">
        <v>655</v>
      </c>
    </row>
    <row r="16" spans="1:35">
      <c r="A16" s="37" t="s">
        <v>23</v>
      </c>
      <c r="B16" s="41">
        <v>593</v>
      </c>
      <c r="C16" s="41">
        <v>627</v>
      </c>
      <c r="D16" s="41">
        <v>691</v>
      </c>
      <c r="E16" s="41">
        <v>749</v>
      </c>
      <c r="F16" s="41">
        <v>756</v>
      </c>
      <c r="G16" s="41">
        <v>750</v>
      </c>
      <c r="H16" s="41">
        <v>789</v>
      </c>
      <c r="I16" s="41">
        <v>812</v>
      </c>
      <c r="J16" s="41">
        <v>802</v>
      </c>
      <c r="K16" s="41">
        <v>834</v>
      </c>
      <c r="L16" s="41">
        <v>872</v>
      </c>
      <c r="M16" s="41">
        <v>850</v>
      </c>
      <c r="N16" s="41">
        <v>950</v>
      </c>
      <c r="O16" s="41">
        <v>990</v>
      </c>
      <c r="P16" s="41">
        <v>1051</v>
      </c>
      <c r="Q16" s="41">
        <v>1129</v>
      </c>
      <c r="R16" s="41">
        <v>1199</v>
      </c>
      <c r="S16" s="41">
        <v>1249</v>
      </c>
      <c r="T16" s="41">
        <v>1244</v>
      </c>
      <c r="U16" s="1">
        <v>1237</v>
      </c>
      <c r="V16" s="1">
        <v>1274</v>
      </c>
      <c r="W16" s="1">
        <v>1413</v>
      </c>
      <c r="X16" s="1">
        <v>1437</v>
      </c>
      <c r="Y16" s="1">
        <v>1465</v>
      </c>
      <c r="Z16" s="1">
        <v>1486</v>
      </c>
      <c r="AA16" s="1">
        <v>1561</v>
      </c>
      <c r="AB16" s="1">
        <v>1478</v>
      </c>
      <c r="AC16" s="1">
        <v>1593</v>
      </c>
      <c r="AD16" s="5"/>
    </row>
    <row r="17" spans="1:30">
      <c r="A17" s="37" t="s">
        <v>24</v>
      </c>
      <c r="B17" s="41">
        <v>310</v>
      </c>
      <c r="C17" s="41">
        <v>323</v>
      </c>
      <c r="D17" s="41">
        <v>360</v>
      </c>
      <c r="E17" s="41">
        <v>381</v>
      </c>
      <c r="F17" s="41">
        <v>359</v>
      </c>
      <c r="G17" s="41">
        <v>347</v>
      </c>
      <c r="H17" s="41">
        <v>333</v>
      </c>
      <c r="I17" s="41">
        <v>399</v>
      </c>
      <c r="J17" s="41">
        <v>359</v>
      </c>
      <c r="K17" s="41">
        <v>343</v>
      </c>
      <c r="L17" s="41">
        <v>369</v>
      </c>
      <c r="M17" s="41">
        <v>341</v>
      </c>
      <c r="N17" s="41">
        <v>366</v>
      </c>
      <c r="O17" s="41">
        <v>359</v>
      </c>
      <c r="P17" s="41">
        <v>367</v>
      </c>
      <c r="Q17" s="41">
        <v>399</v>
      </c>
      <c r="R17" s="41">
        <v>375</v>
      </c>
      <c r="S17" s="41">
        <v>421</v>
      </c>
      <c r="T17" s="41">
        <v>451</v>
      </c>
      <c r="U17" s="1">
        <v>402</v>
      </c>
      <c r="V17" s="1">
        <v>457</v>
      </c>
      <c r="W17" s="1">
        <v>469</v>
      </c>
      <c r="X17" s="1">
        <v>487</v>
      </c>
      <c r="Y17" s="1">
        <v>491</v>
      </c>
      <c r="Z17" s="1">
        <v>499</v>
      </c>
      <c r="AA17" s="1">
        <v>483</v>
      </c>
      <c r="AB17" s="1">
        <v>524</v>
      </c>
      <c r="AC17" s="1">
        <v>487</v>
      </c>
    </row>
    <row r="18" spans="1:30">
      <c r="A18" s="37" t="s">
        <v>25</v>
      </c>
      <c r="B18" s="41">
        <v>247</v>
      </c>
      <c r="C18" s="41">
        <v>285</v>
      </c>
      <c r="D18" s="41">
        <v>355</v>
      </c>
      <c r="E18" s="41">
        <v>394</v>
      </c>
      <c r="F18" s="41">
        <v>442</v>
      </c>
      <c r="G18" s="41">
        <v>365</v>
      </c>
      <c r="H18" s="41">
        <v>422</v>
      </c>
      <c r="I18" s="41">
        <v>398</v>
      </c>
      <c r="J18" s="41">
        <v>385</v>
      </c>
      <c r="K18" s="41">
        <v>427</v>
      </c>
      <c r="L18" s="41">
        <v>414</v>
      </c>
      <c r="M18" s="41">
        <v>412</v>
      </c>
      <c r="N18" s="41">
        <v>414</v>
      </c>
      <c r="O18" s="41">
        <v>450</v>
      </c>
      <c r="P18" s="41">
        <v>430</v>
      </c>
      <c r="Q18" s="41">
        <v>464</v>
      </c>
      <c r="R18" s="41">
        <v>569</v>
      </c>
      <c r="S18" s="41">
        <v>568</v>
      </c>
      <c r="T18" s="41">
        <v>540</v>
      </c>
      <c r="U18" s="1">
        <v>594</v>
      </c>
      <c r="V18" s="1">
        <v>639</v>
      </c>
      <c r="W18" s="1">
        <v>682</v>
      </c>
      <c r="X18" s="1">
        <v>734</v>
      </c>
      <c r="Y18" s="1">
        <v>816</v>
      </c>
      <c r="Z18" s="1">
        <v>747</v>
      </c>
      <c r="AA18" s="1">
        <v>734</v>
      </c>
      <c r="AB18" s="1">
        <v>794</v>
      </c>
      <c r="AC18" s="1">
        <v>838</v>
      </c>
    </row>
    <row r="19" spans="1:30">
      <c r="A19" s="37" t="s">
        <v>26</v>
      </c>
      <c r="B19" s="41">
        <v>310</v>
      </c>
      <c r="C19" s="41">
        <v>328</v>
      </c>
      <c r="D19" s="41">
        <v>490</v>
      </c>
      <c r="E19" s="41">
        <v>478</v>
      </c>
      <c r="F19" s="41">
        <v>441</v>
      </c>
      <c r="G19" s="41">
        <v>452</v>
      </c>
      <c r="H19" s="41">
        <v>492</v>
      </c>
      <c r="I19" s="41">
        <v>511</v>
      </c>
      <c r="J19" s="41">
        <v>429</v>
      </c>
      <c r="K19" s="41">
        <v>466</v>
      </c>
      <c r="L19" s="41">
        <v>496</v>
      </c>
      <c r="M19" s="41">
        <v>458</v>
      </c>
      <c r="N19" s="41">
        <v>503</v>
      </c>
      <c r="O19" s="41">
        <v>534</v>
      </c>
      <c r="P19" s="41">
        <v>557</v>
      </c>
      <c r="Q19" s="41">
        <v>625</v>
      </c>
      <c r="R19" s="41">
        <v>572</v>
      </c>
      <c r="S19" s="41">
        <v>704</v>
      </c>
      <c r="T19" s="41">
        <v>687</v>
      </c>
      <c r="U19" s="1">
        <v>698</v>
      </c>
      <c r="V19" s="1">
        <v>771</v>
      </c>
      <c r="W19" s="1">
        <v>786</v>
      </c>
      <c r="X19" s="1">
        <v>859</v>
      </c>
      <c r="Y19" s="1">
        <v>886</v>
      </c>
      <c r="Z19" s="1">
        <v>974</v>
      </c>
      <c r="AA19" s="1">
        <v>1057</v>
      </c>
      <c r="AB19" s="1">
        <v>1031</v>
      </c>
      <c r="AC19" s="1">
        <v>996</v>
      </c>
    </row>
    <row r="20" spans="1:30">
      <c r="A20" s="37" t="s">
        <v>27</v>
      </c>
      <c r="B20" s="41">
        <v>1780</v>
      </c>
      <c r="C20" s="41">
        <v>1786</v>
      </c>
      <c r="D20" s="41">
        <v>2098</v>
      </c>
      <c r="E20" s="41">
        <v>2154</v>
      </c>
      <c r="F20" s="41">
        <v>2349</v>
      </c>
      <c r="G20" s="41">
        <v>2355</v>
      </c>
      <c r="H20" s="41">
        <v>2443</v>
      </c>
      <c r="I20" s="41">
        <v>2435</v>
      </c>
      <c r="J20" s="41">
        <v>2448</v>
      </c>
      <c r="K20" s="41">
        <v>2363</v>
      </c>
      <c r="L20" s="41">
        <v>2244</v>
      </c>
      <c r="M20" s="41">
        <v>2207</v>
      </c>
      <c r="N20" s="41">
        <v>2345</v>
      </c>
      <c r="O20" s="41">
        <v>2514</v>
      </c>
      <c r="P20" s="41">
        <v>2731</v>
      </c>
      <c r="Q20" s="41">
        <v>3052</v>
      </c>
      <c r="R20" s="41">
        <v>3209</v>
      </c>
      <c r="S20" s="41">
        <v>3230</v>
      </c>
      <c r="T20" s="41">
        <v>3141</v>
      </c>
      <c r="U20" s="5">
        <v>3301</v>
      </c>
      <c r="V20" s="5">
        <v>3619</v>
      </c>
      <c r="W20" s="5">
        <v>3333</v>
      </c>
      <c r="X20" s="5">
        <v>3639</v>
      </c>
      <c r="Y20" s="5">
        <v>3744</v>
      </c>
      <c r="Z20" s="1">
        <v>4107</v>
      </c>
      <c r="AA20" s="1">
        <v>4155</v>
      </c>
      <c r="AB20" s="1">
        <v>4225</v>
      </c>
      <c r="AC20" s="1">
        <v>4362</v>
      </c>
      <c r="AD20" s="5"/>
    </row>
    <row r="21" spans="1:30">
      <c r="A21" s="37" t="s">
        <v>28</v>
      </c>
      <c r="B21" s="41">
        <v>667</v>
      </c>
      <c r="C21" s="41">
        <v>717</v>
      </c>
      <c r="D21" s="41">
        <v>933</v>
      </c>
      <c r="E21" s="41">
        <v>984</v>
      </c>
      <c r="F21" s="41">
        <v>989</v>
      </c>
      <c r="G21" s="41">
        <v>1048</v>
      </c>
      <c r="H21" s="41">
        <v>1025</v>
      </c>
      <c r="I21" s="41">
        <v>1122</v>
      </c>
      <c r="J21" s="41">
        <v>988</v>
      </c>
      <c r="K21" s="41">
        <v>1017</v>
      </c>
      <c r="L21" s="41">
        <v>1037</v>
      </c>
      <c r="M21" s="41">
        <v>1000</v>
      </c>
      <c r="N21" s="41">
        <v>1101</v>
      </c>
      <c r="O21" s="41">
        <v>1195</v>
      </c>
      <c r="P21" s="41">
        <v>1220</v>
      </c>
      <c r="Q21" s="41">
        <v>1260</v>
      </c>
      <c r="R21" s="41">
        <v>1335</v>
      </c>
      <c r="S21" s="41">
        <v>1399</v>
      </c>
      <c r="T21" s="41">
        <v>1409</v>
      </c>
      <c r="U21" s="1">
        <v>1552</v>
      </c>
      <c r="V21" s="1">
        <v>1619</v>
      </c>
      <c r="W21" s="1">
        <v>1647</v>
      </c>
      <c r="X21" s="1">
        <v>1721</v>
      </c>
      <c r="Y21" s="1">
        <v>1696</v>
      </c>
      <c r="Z21" s="1">
        <v>1691</v>
      </c>
      <c r="AA21" s="1">
        <v>1729</v>
      </c>
      <c r="AB21" s="1">
        <v>1739</v>
      </c>
      <c r="AC21" s="1">
        <v>1717</v>
      </c>
      <c r="AD21" s="5"/>
    </row>
    <row r="22" spans="1:30">
      <c r="A22" s="42" t="s">
        <v>29</v>
      </c>
      <c r="B22" s="43">
        <v>110</v>
      </c>
      <c r="C22" s="43">
        <v>131</v>
      </c>
      <c r="D22" s="43">
        <v>116</v>
      </c>
      <c r="E22" s="43">
        <v>99</v>
      </c>
      <c r="F22" s="43">
        <v>127</v>
      </c>
      <c r="G22" s="43">
        <v>159</v>
      </c>
      <c r="H22" s="43">
        <v>120</v>
      </c>
      <c r="I22" s="43">
        <v>142</v>
      </c>
      <c r="J22" s="43">
        <v>158</v>
      </c>
      <c r="K22" s="43">
        <v>139</v>
      </c>
      <c r="L22" s="43">
        <v>134</v>
      </c>
      <c r="M22" s="43">
        <v>160</v>
      </c>
      <c r="N22" s="43">
        <v>169</v>
      </c>
      <c r="O22" s="43">
        <v>169</v>
      </c>
      <c r="P22" s="43">
        <v>179</v>
      </c>
      <c r="Q22" s="43">
        <v>173</v>
      </c>
      <c r="R22" s="43">
        <v>221</v>
      </c>
      <c r="S22" s="43">
        <v>201</v>
      </c>
      <c r="T22" s="43">
        <v>158</v>
      </c>
      <c r="U22" s="1">
        <v>178</v>
      </c>
      <c r="V22" s="1">
        <v>179</v>
      </c>
      <c r="W22" s="1">
        <v>174</v>
      </c>
      <c r="X22" s="1">
        <v>165</v>
      </c>
      <c r="Y22" s="1">
        <v>201</v>
      </c>
      <c r="Z22" s="6">
        <v>229</v>
      </c>
      <c r="AA22" s="6">
        <v>259</v>
      </c>
      <c r="AB22" s="6">
        <v>209</v>
      </c>
      <c r="AC22" s="6">
        <v>220</v>
      </c>
    </row>
    <row r="23" spans="1:30">
      <c r="A23" s="37" t="s">
        <v>210</v>
      </c>
      <c r="B23" s="38">
        <f t="shared" ref="B23:S23" si="28">SUM(B25:B37)</f>
        <v>4756</v>
      </c>
      <c r="C23" s="38">
        <f t="shared" si="28"/>
        <v>4918</v>
      </c>
      <c r="D23" s="38">
        <f t="shared" si="28"/>
        <v>5663</v>
      </c>
      <c r="E23" s="38">
        <f t="shared" si="28"/>
        <v>6023</v>
      </c>
      <c r="F23" s="38">
        <f t="shared" si="28"/>
        <v>6374</v>
      </c>
      <c r="G23" s="38">
        <f t="shared" si="28"/>
        <v>6398</v>
      </c>
      <c r="H23" s="38">
        <f t="shared" si="28"/>
        <v>6417</v>
      </c>
      <c r="I23" s="38">
        <f t="shared" si="28"/>
        <v>6631</v>
      </c>
      <c r="J23" s="38">
        <f t="shared" si="28"/>
        <v>6576</v>
      </c>
      <c r="K23" s="38">
        <f t="shared" si="28"/>
        <v>6213</v>
      </c>
      <c r="L23" s="38">
        <f t="shared" si="28"/>
        <v>6207</v>
      </c>
      <c r="M23" s="38">
        <f t="shared" si="28"/>
        <v>6360</v>
      </c>
      <c r="N23" s="38">
        <f t="shared" si="28"/>
        <v>6611</v>
      </c>
      <c r="O23" s="38">
        <f t="shared" si="28"/>
        <v>6928</v>
      </c>
      <c r="P23" s="38">
        <f t="shared" si="28"/>
        <v>7460</v>
      </c>
      <c r="Q23" s="38">
        <f t="shared" si="28"/>
        <v>8031</v>
      </c>
      <c r="R23" s="38">
        <f t="shared" si="28"/>
        <v>8407</v>
      </c>
      <c r="S23" s="38">
        <f t="shared" si="28"/>
        <v>8766</v>
      </c>
      <c r="T23" s="38">
        <f t="shared" ref="T23:U23" si="29">SUM(T25:T37)</f>
        <v>8264</v>
      </c>
      <c r="U23" s="38">
        <f t="shared" si="29"/>
        <v>8671</v>
      </c>
      <c r="V23" s="38">
        <f t="shared" ref="V23:W23" si="30">SUM(V25:V37)</f>
        <v>9009</v>
      </c>
      <c r="W23" s="38">
        <f t="shared" si="30"/>
        <v>9588</v>
      </c>
      <c r="X23" s="38">
        <f t="shared" ref="X23:AC23" si="31">SUM(X25:X37)</f>
        <v>9404</v>
      </c>
      <c r="Y23" s="38">
        <f t="shared" si="31"/>
        <v>9807</v>
      </c>
      <c r="Z23" s="38">
        <f t="shared" si="31"/>
        <v>9137</v>
      </c>
      <c r="AA23" s="38">
        <f t="shared" si="31"/>
        <v>9367</v>
      </c>
      <c r="AB23" s="38">
        <f t="shared" si="31"/>
        <v>9586</v>
      </c>
      <c r="AC23" s="38">
        <f t="shared" si="31"/>
        <v>9840</v>
      </c>
    </row>
    <row r="24" spans="1:30">
      <c r="A24" s="39" t="s">
        <v>213</v>
      </c>
      <c r="B24" s="40">
        <f t="shared" ref="B24:S24" si="32">(B23/B4)*100</f>
        <v>21.770575849125699</v>
      </c>
      <c r="C24" s="40">
        <f t="shared" si="32"/>
        <v>21.931858722797003</v>
      </c>
      <c r="D24" s="40">
        <f t="shared" si="32"/>
        <v>21.128231914337945</v>
      </c>
      <c r="E24" s="40">
        <f t="shared" si="32"/>
        <v>22.013084317093671</v>
      </c>
      <c r="F24" s="40">
        <f t="shared" si="32"/>
        <v>22.376689485694225</v>
      </c>
      <c r="G24" s="40">
        <f t="shared" si="32"/>
        <v>22.159110587746337</v>
      </c>
      <c r="H24" s="40">
        <f t="shared" si="32"/>
        <v>21.783556249575668</v>
      </c>
      <c r="I24" s="40">
        <f t="shared" si="32"/>
        <v>22.253171353782133</v>
      </c>
      <c r="J24" s="40">
        <f t="shared" si="32"/>
        <v>22.130237253912167</v>
      </c>
      <c r="K24" s="40">
        <f t="shared" si="32"/>
        <v>22.083599914693963</v>
      </c>
      <c r="L24" s="40">
        <f t="shared" si="32"/>
        <v>21.849479019994366</v>
      </c>
      <c r="M24" s="40">
        <f t="shared" si="32"/>
        <v>22.658448822544443</v>
      </c>
      <c r="N24" s="40">
        <f t="shared" si="32"/>
        <v>22.254763347471894</v>
      </c>
      <c r="O24" s="40">
        <f t="shared" si="32"/>
        <v>21.825284314652048</v>
      </c>
      <c r="P24" s="40">
        <f t="shared" si="32"/>
        <v>22.092575591553885</v>
      </c>
      <c r="Q24" s="40">
        <f t="shared" si="32"/>
        <v>22.166712669058793</v>
      </c>
      <c r="R24" s="40">
        <f t="shared" si="32"/>
        <v>22.250158797374549</v>
      </c>
      <c r="S24" s="40">
        <f t="shared" si="32"/>
        <v>22.758781836591634</v>
      </c>
      <c r="T24" s="40">
        <f t="shared" ref="T24:U24" si="33">(T23/T4)*100</f>
        <v>22.489522669134054</v>
      </c>
      <c r="U24" s="40">
        <f t="shared" si="33"/>
        <v>22.749573658664566</v>
      </c>
      <c r="V24" s="40">
        <f t="shared" ref="V24:W24" si="34">(V23/V4)*100</f>
        <v>22.694410156938812</v>
      </c>
      <c r="W24" s="40">
        <f t="shared" si="34"/>
        <v>23.703923459170809</v>
      </c>
      <c r="X24" s="40">
        <f t="shared" ref="X24:AC24" si="35">(X23/X4)*100</f>
        <v>22.524011400924529</v>
      </c>
      <c r="Y24" s="40">
        <f t="shared" si="35"/>
        <v>22.846293621581324</v>
      </c>
      <c r="Z24" s="40">
        <f t="shared" si="35"/>
        <v>21.363604479880287</v>
      </c>
      <c r="AA24" s="40">
        <f t="shared" si="35"/>
        <v>21.484930501399148</v>
      </c>
      <c r="AB24" s="40">
        <f t="shared" si="35"/>
        <v>21.735482846971863</v>
      </c>
      <c r="AC24" s="40">
        <f t="shared" si="35"/>
        <v>22.012930359499787</v>
      </c>
    </row>
    <row r="25" spans="1:30">
      <c r="A25" s="37" t="s">
        <v>125</v>
      </c>
      <c r="B25" s="41">
        <v>7</v>
      </c>
      <c r="C25" s="41">
        <v>15</v>
      </c>
      <c r="D25" s="41">
        <v>13</v>
      </c>
      <c r="E25" s="41">
        <v>10</v>
      </c>
      <c r="F25" s="41">
        <v>24</v>
      </c>
      <c r="G25" s="41">
        <v>19</v>
      </c>
      <c r="H25" s="41">
        <v>28</v>
      </c>
      <c r="I25" s="41">
        <v>20</v>
      </c>
      <c r="J25" s="41">
        <v>68</v>
      </c>
      <c r="K25" s="41">
        <v>27</v>
      </c>
      <c r="L25" s="41">
        <v>20</v>
      </c>
      <c r="M25" s="41">
        <v>36</v>
      </c>
      <c r="N25" s="41">
        <v>20</v>
      </c>
      <c r="O25" s="41">
        <v>25</v>
      </c>
      <c r="P25" s="41">
        <v>21</v>
      </c>
      <c r="Q25" s="41">
        <v>33</v>
      </c>
      <c r="R25" s="41">
        <v>29</v>
      </c>
      <c r="S25" s="41">
        <v>37</v>
      </c>
      <c r="T25" s="41">
        <v>45</v>
      </c>
      <c r="U25" s="1">
        <v>46</v>
      </c>
      <c r="V25" s="1">
        <v>50</v>
      </c>
      <c r="W25" s="1">
        <v>54</v>
      </c>
      <c r="X25" s="1">
        <v>52</v>
      </c>
      <c r="Y25" s="1">
        <v>41</v>
      </c>
      <c r="Z25" s="1">
        <v>48</v>
      </c>
      <c r="AA25" s="1">
        <v>56</v>
      </c>
      <c r="AB25" s="1">
        <v>57</v>
      </c>
      <c r="AC25" s="1">
        <v>43</v>
      </c>
    </row>
    <row r="26" spans="1:30">
      <c r="A26" s="37" t="s">
        <v>126</v>
      </c>
      <c r="B26" s="41">
        <v>506</v>
      </c>
      <c r="C26" s="41">
        <v>495</v>
      </c>
      <c r="D26" s="41">
        <v>633</v>
      </c>
      <c r="E26" s="41">
        <v>690</v>
      </c>
      <c r="F26" s="41">
        <v>754</v>
      </c>
      <c r="G26" s="41">
        <v>787</v>
      </c>
      <c r="H26" s="41">
        <v>756</v>
      </c>
      <c r="I26" s="41">
        <v>789</v>
      </c>
      <c r="J26" s="41">
        <v>755</v>
      </c>
      <c r="K26" s="41">
        <v>741</v>
      </c>
      <c r="L26" s="41">
        <v>743</v>
      </c>
      <c r="M26" s="41">
        <v>762</v>
      </c>
      <c r="N26" s="41">
        <v>828</v>
      </c>
      <c r="O26" s="41">
        <v>811</v>
      </c>
      <c r="P26" s="41">
        <v>866</v>
      </c>
      <c r="Q26" s="41">
        <v>942</v>
      </c>
      <c r="R26" s="41">
        <v>957</v>
      </c>
      <c r="S26" s="41">
        <v>1169</v>
      </c>
      <c r="T26" s="41">
        <v>1006</v>
      </c>
      <c r="U26" s="1">
        <v>1033</v>
      </c>
      <c r="V26" s="1">
        <v>1116</v>
      </c>
      <c r="W26" s="1">
        <v>1130</v>
      </c>
      <c r="X26" s="1">
        <v>1115</v>
      </c>
      <c r="Y26" s="1">
        <v>1267</v>
      </c>
      <c r="Z26" s="1">
        <v>1251</v>
      </c>
      <c r="AA26" s="1">
        <v>1157</v>
      </c>
      <c r="AB26" s="1">
        <v>1201</v>
      </c>
      <c r="AC26" s="1">
        <v>1230</v>
      </c>
    </row>
    <row r="27" spans="1:30">
      <c r="A27" s="37" t="s">
        <v>127</v>
      </c>
      <c r="B27" s="41">
        <v>2050</v>
      </c>
      <c r="C27" s="41">
        <v>2100</v>
      </c>
      <c r="D27" s="41">
        <v>2551</v>
      </c>
      <c r="E27" s="41">
        <v>2700</v>
      </c>
      <c r="F27" s="41">
        <v>2864</v>
      </c>
      <c r="G27" s="41">
        <v>2847</v>
      </c>
      <c r="H27" s="41">
        <v>2754</v>
      </c>
      <c r="I27" s="41">
        <v>2824</v>
      </c>
      <c r="J27" s="41">
        <v>2857</v>
      </c>
      <c r="K27" s="41">
        <v>2669</v>
      </c>
      <c r="L27" s="41">
        <v>2769</v>
      </c>
      <c r="M27" s="41">
        <v>2817</v>
      </c>
      <c r="N27" s="41">
        <v>2995</v>
      </c>
      <c r="O27" s="41">
        <v>3069</v>
      </c>
      <c r="P27" s="41">
        <v>3337</v>
      </c>
      <c r="Q27" s="41">
        <v>3628</v>
      </c>
      <c r="R27" s="41">
        <v>3956</v>
      </c>
      <c r="S27" s="41">
        <v>3887</v>
      </c>
      <c r="T27" s="41">
        <v>3832</v>
      </c>
      <c r="U27" s="5">
        <v>3984</v>
      </c>
      <c r="V27" s="5">
        <v>4115</v>
      </c>
      <c r="W27" s="5">
        <v>4331</v>
      </c>
      <c r="X27" s="5">
        <v>4294</v>
      </c>
      <c r="Y27" s="5">
        <v>4304</v>
      </c>
      <c r="Z27" s="1">
        <v>3795</v>
      </c>
      <c r="AA27" s="1">
        <v>4068</v>
      </c>
      <c r="AB27" s="1">
        <v>4132</v>
      </c>
      <c r="AC27" s="1">
        <v>4172</v>
      </c>
      <c r="AD27" s="5"/>
    </row>
    <row r="28" spans="1:30">
      <c r="A28" s="37" t="s">
        <v>128</v>
      </c>
      <c r="B28" s="41">
        <v>536</v>
      </c>
      <c r="C28" s="41">
        <v>564</v>
      </c>
      <c r="D28" s="41">
        <v>577</v>
      </c>
      <c r="E28" s="41">
        <v>647</v>
      </c>
      <c r="F28" s="41">
        <v>656</v>
      </c>
      <c r="G28" s="41">
        <v>666</v>
      </c>
      <c r="H28" s="41">
        <v>709</v>
      </c>
      <c r="I28" s="41">
        <v>758</v>
      </c>
      <c r="J28" s="41">
        <v>728</v>
      </c>
      <c r="K28" s="41">
        <v>709</v>
      </c>
      <c r="L28" s="41">
        <v>638</v>
      </c>
      <c r="M28" s="41">
        <v>689</v>
      </c>
      <c r="N28" s="41">
        <v>658</v>
      </c>
      <c r="O28" s="41">
        <v>707</v>
      </c>
      <c r="P28" s="41">
        <v>687</v>
      </c>
      <c r="Q28" s="41">
        <v>795</v>
      </c>
      <c r="R28" s="41">
        <v>731</v>
      </c>
      <c r="S28" s="41">
        <v>808</v>
      </c>
      <c r="T28" s="41">
        <v>743</v>
      </c>
      <c r="U28" s="1">
        <v>769</v>
      </c>
      <c r="V28" s="1">
        <v>826</v>
      </c>
      <c r="W28" s="1">
        <v>925</v>
      </c>
      <c r="X28" s="1">
        <v>941</v>
      </c>
      <c r="Y28" s="1">
        <v>997</v>
      </c>
      <c r="Z28" s="1">
        <v>997</v>
      </c>
      <c r="AA28" s="1">
        <v>984</v>
      </c>
      <c r="AB28" s="1">
        <v>1029</v>
      </c>
      <c r="AC28" s="1">
        <v>1068</v>
      </c>
    </row>
    <row r="29" spans="1:30">
      <c r="A29" s="37" t="s">
        <v>131</v>
      </c>
      <c r="B29" s="41">
        <v>133</v>
      </c>
      <c r="C29" s="41">
        <v>111</v>
      </c>
      <c r="D29" s="41">
        <v>140</v>
      </c>
      <c r="E29" s="41">
        <v>147</v>
      </c>
      <c r="F29" s="41">
        <v>159</v>
      </c>
      <c r="G29" s="41">
        <v>155</v>
      </c>
      <c r="H29" s="41">
        <v>186</v>
      </c>
      <c r="I29" s="41">
        <v>175</v>
      </c>
      <c r="J29" s="41">
        <v>161</v>
      </c>
      <c r="K29" s="41">
        <v>158</v>
      </c>
      <c r="L29" s="41">
        <v>153</v>
      </c>
      <c r="M29" s="41">
        <v>131</v>
      </c>
      <c r="N29" s="41">
        <v>116</v>
      </c>
      <c r="O29" s="41">
        <v>156</v>
      </c>
      <c r="P29" s="41">
        <v>156</v>
      </c>
      <c r="Q29" s="41">
        <v>149</v>
      </c>
      <c r="R29" s="41">
        <v>215</v>
      </c>
      <c r="S29" s="41">
        <v>206</v>
      </c>
      <c r="T29" s="41">
        <v>184</v>
      </c>
      <c r="U29" s="1">
        <v>252</v>
      </c>
      <c r="V29" s="1">
        <v>197</v>
      </c>
      <c r="W29" s="1">
        <v>230</v>
      </c>
      <c r="X29" s="1">
        <v>194</v>
      </c>
      <c r="Y29" s="1">
        <v>239</v>
      </c>
      <c r="Z29" s="1">
        <v>206</v>
      </c>
      <c r="AA29" s="1">
        <v>194</v>
      </c>
      <c r="AB29" s="1">
        <v>206</v>
      </c>
      <c r="AC29" s="1">
        <v>207</v>
      </c>
    </row>
    <row r="30" spans="1:30">
      <c r="A30" s="37" t="s">
        <v>133</v>
      </c>
      <c r="B30" s="41">
        <v>47</v>
      </c>
      <c r="C30" s="41">
        <v>63</v>
      </c>
      <c r="D30" s="41">
        <v>76</v>
      </c>
      <c r="E30" s="41">
        <v>65</v>
      </c>
      <c r="F30" s="41">
        <v>88</v>
      </c>
      <c r="G30" s="41">
        <v>80</v>
      </c>
      <c r="H30" s="41">
        <v>94</v>
      </c>
      <c r="I30" s="41">
        <v>90</v>
      </c>
      <c r="J30" s="41">
        <v>91</v>
      </c>
      <c r="K30" s="41">
        <v>85</v>
      </c>
      <c r="L30" s="41">
        <v>105</v>
      </c>
      <c r="M30" s="41">
        <v>131</v>
      </c>
      <c r="N30" s="41">
        <v>105</v>
      </c>
      <c r="O30" s="41">
        <v>139</v>
      </c>
      <c r="P30" s="41">
        <v>172</v>
      </c>
      <c r="Q30" s="41">
        <v>161</v>
      </c>
      <c r="R30" s="41">
        <v>156</v>
      </c>
      <c r="S30" s="41">
        <v>159</v>
      </c>
      <c r="T30" s="41">
        <v>109</v>
      </c>
      <c r="U30" s="1">
        <v>115</v>
      </c>
      <c r="V30" s="1">
        <v>111</v>
      </c>
      <c r="W30" s="1">
        <v>153</v>
      </c>
      <c r="X30" s="1">
        <v>151</v>
      </c>
      <c r="Y30" s="1">
        <v>129</v>
      </c>
      <c r="Z30" s="1">
        <v>132</v>
      </c>
      <c r="AA30" s="1">
        <v>127</v>
      </c>
      <c r="AB30" s="1">
        <v>114</v>
      </c>
      <c r="AC30" s="1">
        <v>135</v>
      </c>
    </row>
    <row r="31" spans="1:30">
      <c r="A31" s="37" t="s">
        <v>142</v>
      </c>
      <c r="B31" s="41">
        <v>49</v>
      </c>
      <c r="C31" s="41">
        <v>65</v>
      </c>
      <c r="D31" s="41">
        <v>65</v>
      </c>
      <c r="E31" s="41">
        <v>57</v>
      </c>
      <c r="F31" s="41">
        <v>57</v>
      </c>
      <c r="G31" s="41">
        <v>66</v>
      </c>
      <c r="H31" s="41">
        <v>61</v>
      </c>
      <c r="I31" s="41">
        <v>93</v>
      </c>
      <c r="J31" s="41">
        <v>98</v>
      </c>
      <c r="K31" s="41">
        <v>83</v>
      </c>
      <c r="L31" s="41">
        <v>65</v>
      </c>
      <c r="M31" s="41">
        <v>75</v>
      </c>
      <c r="N31" s="41">
        <v>80</v>
      </c>
      <c r="O31" s="41">
        <v>117</v>
      </c>
      <c r="P31" s="41">
        <v>112</v>
      </c>
      <c r="Q31" s="41">
        <v>133</v>
      </c>
      <c r="R31" s="41">
        <v>137</v>
      </c>
      <c r="S31" s="41">
        <v>140</v>
      </c>
      <c r="T31" s="41">
        <v>93</v>
      </c>
      <c r="U31" s="1">
        <v>101</v>
      </c>
      <c r="V31" s="1">
        <v>97</v>
      </c>
      <c r="W31" s="1">
        <v>98</v>
      </c>
      <c r="X31" s="1">
        <v>107</v>
      </c>
      <c r="Y31" s="1">
        <v>129</v>
      </c>
      <c r="Z31" s="1">
        <v>118</v>
      </c>
      <c r="AA31" s="1">
        <v>122</v>
      </c>
      <c r="AB31" s="1">
        <v>112</v>
      </c>
      <c r="AC31" s="1">
        <v>128</v>
      </c>
    </row>
    <row r="32" spans="1:30">
      <c r="A32" s="37" t="s">
        <v>148</v>
      </c>
      <c r="B32" s="41">
        <v>32</v>
      </c>
      <c r="C32" s="41">
        <v>28</v>
      </c>
      <c r="D32" s="41">
        <v>45</v>
      </c>
      <c r="E32" s="41">
        <v>39</v>
      </c>
      <c r="F32" s="41">
        <v>52</v>
      </c>
      <c r="G32" s="41">
        <v>77</v>
      </c>
      <c r="H32" s="41">
        <v>76</v>
      </c>
      <c r="I32" s="41">
        <v>89</v>
      </c>
      <c r="J32" s="41">
        <v>91</v>
      </c>
      <c r="K32" s="41">
        <v>88</v>
      </c>
      <c r="L32" s="41">
        <v>115</v>
      </c>
      <c r="M32" s="41">
        <v>132</v>
      </c>
      <c r="N32" s="41">
        <v>121</v>
      </c>
      <c r="O32" s="41">
        <v>126</v>
      </c>
      <c r="P32" s="41">
        <v>157</v>
      </c>
      <c r="Q32" s="41">
        <v>157</v>
      </c>
      <c r="R32" s="41">
        <v>173</v>
      </c>
      <c r="S32" s="41">
        <v>260</v>
      </c>
      <c r="T32" s="41">
        <v>235</v>
      </c>
      <c r="U32" s="1">
        <v>256</v>
      </c>
      <c r="V32" s="1">
        <v>264</v>
      </c>
      <c r="W32" s="1">
        <v>281</v>
      </c>
      <c r="X32" s="1">
        <v>242</v>
      </c>
      <c r="Y32" s="1">
        <v>258</v>
      </c>
      <c r="Z32" s="1">
        <v>296</v>
      </c>
      <c r="AA32" s="1">
        <v>272</v>
      </c>
      <c r="AB32" s="1">
        <v>296</v>
      </c>
      <c r="AC32" s="1">
        <v>283</v>
      </c>
    </row>
    <row r="33" spans="1:30">
      <c r="A33" s="37" t="s">
        <v>147</v>
      </c>
      <c r="B33" s="41">
        <v>206</v>
      </c>
      <c r="C33" s="41">
        <v>222</v>
      </c>
      <c r="D33" s="41">
        <v>229</v>
      </c>
      <c r="E33" s="41">
        <v>243</v>
      </c>
      <c r="F33" s="41">
        <v>243</v>
      </c>
      <c r="G33" s="41">
        <v>285</v>
      </c>
      <c r="H33" s="41">
        <v>305</v>
      </c>
      <c r="I33" s="41">
        <v>280</v>
      </c>
      <c r="J33" s="41">
        <v>307</v>
      </c>
      <c r="K33" s="41">
        <v>279</v>
      </c>
      <c r="L33" s="41">
        <v>271</v>
      </c>
      <c r="M33" s="41">
        <v>244</v>
      </c>
      <c r="N33" s="41">
        <v>283</v>
      </c>
      <c r="O33" s="41">
        <v>313</v>
      </c>
      <c r="P33" s="41">
        <v>279</v>
      </c>
      <c r="Q33" s="41">
        <v>278</v>
      </c>
      <c r="R33" s="41">
        <v>253</v>
      </c>
      <c r="S33" s="41">
        <v>288</v>
      </c>
      <c r="T33" s="41">
        <v>263</v>
      </c>
      <c r="U33" s="1">
        <v>280</v>
      </c>
      <c r="V33" s="1">
        <v>320</v>
      </c>
      <c r="W33" s="1">
        <v>344</v>
      </c>
      <c r="X33" s="1">
        <v>356</v>
      </c>
      <c r="Y33" s="1">
        <v>366</v>
      </c>
      <c r="Z33" s="1">
        <v>321</v>
      </c>
      <c r="AA33" s="1">
        <v>308</v>
      </c>
      <c r="AB33" s="1">
        <v>338</v>
      </c>
      <c r="AC33" s="1">
        <v>344</v>
      </c>
    </row>
    <row r="34" spans="1:30">
      <c r="A34" s="37" t="s">
        <v>151</v>
      </c>
      <c r="B34" s="41">
        <v>305</v>
      </c>
      <c r="C34" s="41">
        <v>354</v>
      </c>
      <c r="D34" s="41">
        <v>457</v>
      </c>
      <c r="E34" s="41">
        <v>494</v>
      </c>
      <c r="F34" s="41">
        <v>481</v>
      </c>
      <c r="G34" s="41">
        <v>430</v>
      </c>
      <c r="H34" s="41">
        <v>406</v>
      </c>
      <c r="I34" s="41">
        <v>435</v>
      </c>
      <c r="J34" s="41">
        <v>412</v>
      </c>
      <c r="K34" s="41">
        <v>371</v>
      </c>
      <c r="L34" s="41">
        <v>365</v>
      </c>
      <c r="M34" s="41">
        <v>384</v>
      </c>
      <c r="N34" s="41">
        <v>413</v>
      </c>
      <c r="O34" s="41">
        <v>378</v>
      </c>
      <c r="P34" s="41">
        <v>443</v>
      </c>
      <c r="Q34" s="41">
        <v>426</v>
      </c>
      <c r="R34" s="41">
        <v>421</v>
      </c>
      <c r="S34" s="41">
        <v>465</v>
      </c>
      <c r="T34" s="41">
        <v>438</v>
      </c>
      <c r="U34" s="1">
        <v>435</v>
      </c>
      <c r="V34" s="1">
        <v>497</v>
      </c>
      <c r="W34" s="1">
        <v>501</v>
      </c>
      <c r="X34" s="1">
        <v>483</v>
      </c>
      <c r="Y34" s="1">
        <v>530</v>
      </c>
      <c r="Z34" s="1">
        <v>495</v>
      </c>
      <c r="AA34" s="1">
        <v>600</v>
      </c>
      <c r="AB34" s="1">
        <v>574</v>
      </c>
      <c r="AC34" s="1">
        <v>594</v>
      </c>
    </row>
    <row r="35" spans="1:30">
      <c r="A35" s="37" t="s">
        <v>155</v>
      </c>
      <c r="B35" s="41">
        <v>254</v>
      </c>
      <c r="C35" s="41">
        <v>287</v>
      </c>
      <c r="D35" s="41">
        <v>280</v>
      </c>
      <c r="E35" s="41">
        <v>302</v>
      </c>
      <c r="F35" s="41">
        <v>266</v>
      </c>
      <c r="G35" s="41">
        <v>272</v>
      </c>
      <c r="H35" s="41">
        <v>318</v>
      </c>
      <c r="I35" s="41">
        <v>300</v>
      </c>
      <c r="J35" s="41">
        <v>295</v>
      </c>
      <c r="K35" s="41">
        <v>277</v>
      </c>
      <c r="L35" s="41">
        <v>286</v>
      </c>
      <c r="M35" s="41">
        <v>284</v>
      </c>
      <c r="N35" s="41">
        <v>280</v>
      </c>
      <c r="O35" s="41">
        <v>298</v>
      </c>
      <c r="P35" s="41">
        <v>357</v>
      </c>
      <c r="Q35" s="41">
        <v>430</v>
      </c>
      <c r="R35" s="41">
        <v>494</v>
      </c>
      <c r="S35" s="41">
        <v>400</v>
      </c>
      <c r="T35" s="41">
        <v>367</v>
      </c>
      <c r="U35" s="1">
        <v>415</v>
      </c>
      <c r="V35" s="1">
        <v>433</v>
      </c>
      <c r="W35" s="1">
        <v>429</v>
      </c>
      <c r="X35" s="1">
        <v>439</v>
      </c>
      <c r="Y35" s="1">
        <v>486</v>
      </c>
      <c r="Z35" s="1">
        <v>425</v>
      </c>
      <c r="AA35" s="1">
        <v>434</v>
      </c>
      <c r="AB35" s="1">
        <v>445</v>
      </c>
      <c r="AC35" s="1">
        <v>489</v>
      </c>
    </row>
    <row r="36" spans="1:30">
      <c r="A36" s="37" t="s">
        <v>67</v>
      </c>
      <c r="B36" s="41">
        <v>563</v>
      </c>
      <c r="C36" s="41">
        <v>541</v>
      </c>
      <c r="D36" s="41">
        <v>547</v>
      </c>
      <c r="E36" s="41">
        <v>579</v>
      </c>
      <c r="F36" s="41">
        <v>657</v>
      </c>
      <c r="G36" s="41">
        <v>651</v>
      </c>
      <c r="H36" s="41">
        <v>646</v>
      </c>
      <c r="I36" s="41">
        <v>699</v>
      </c>
      <c r="J36" s="41">
        <v>649</v>
      </c>
      <c r="K36" s="41">
        <v>663</v>
      </c>
      <c r="L36" s="41">
        <v>604</v>
      </c>
      <c r="M36" s="41">
        <v>619</v>
      </c>
      <c r="N36" s="41">
        <v>670</v>
      </c>
      <c r="O36" s="41">
        <v>737</v>
      </c>
      <c r="P36" s="41">
        <v>814</v>
      </c>
      <c r="Q36" s="41">
        <v>838</v>
      </c>
      <c r="R36" s="41">
        <v>811</v>
      </c>
      <c r="S36" s="41">
        <v>878</v>
      </c>
      <c r="T36" s="41">
        <v>880</v>
      </c>
      <c r="U36" s="1">
        <v>920</v>
      </c>
      <c r="V36" s="1">
        <v>911</v>
      </c>
      <c r="W36" s="1">
        <v>1031</v>
      </c>
      <c r="X36" s="1">
        <v>923</v>
      </c>
      <c r="Y36" s="1">
        <v>968</v>
      </c>
      <c r="Z36" s="1">
        <v>954</v>
      </c>
      <c r="AA36" s="1">
        <v>939</v>
      </c>
      <c r="AB36" s="1">
        <v>969</v>
      </c>
      <c r="AC36" s="1">
        <v>1041</v>
      </c>
    </row>
    <row r="37" spans="1:30">
      <c r="A37" s="42" t="s">
        <v>158</v>
      </c>
      <c r="B37" s="43">
        <v>68</v>
      </c>
      <c r="C37" s="43">
        <v>73</v>
      </c>
      <c r="D37" s="43">
        <v>50</v>
      </c>
      <c r="E37" s="43">
        <v>50</v>
      </c>
      <c r="F37" s="43">
        <v>73</v>
      </c>
      <c r="G37" s="43">
        <v>63</v>
      </c>
      <c r="H37" s="43">
        <v>78</v>
      </c>
      <c r="I37" s="43">
        <v>79</v>
      </c>
      <c r="J37" s="43">
        <v>64</v>
      </c>
      <c r="K37" s="43">
        <v>63</v>
      </c>
      <c r="L37" s="43">
        <v>73</v>
      </c>
      <c r="M37" s="43">
        <v>56</v>
      </c>
      <c r="N37" s="43">
        <v>42</v>
      </c>
      <c r="O37" s="43">
        <v>52</v>
      </c>
      <c r="P37" s="43">
        <v>59</v>
      </c>
      <c r="Q37" s="43">
        <v>61</v>
      </c>
      <c r="R37" s="43">
        <v>74</v>
      </c>
      <c r="S37" s="43">
        <v>69</v>
      </c>
      <c r="T37" s="43">
        <v>69</v>
      </c>
      <c r="U37" s="1">
        <v>65</v>
      </c>
      <c r="V37" s="1">
        <v>72</v>
      </c>
      <c r="W37" s="1">
        <v>81</v>
      </c>
      <c r="X37" s="1">
        <v>107</v>
      </c>
      <c r="Y37" s="1">
        <v>93</v>
      </c>
      <c r="Z37" s="1">
        <v>99</v>
      </c>
      <c r="AA37" s="1">
        <v>106</v>
      </c>
      <c r="AB37" s="1">
        <v>113</v>
      </c>
      <c r="AC37" s="1">
        <v>106</v>
      </c>
    </row>
    <row r="38" spans="1:30">
      <c r="A38" s="37" t="s">
        <v>211</v>
      </c>
      <c r="B38" s="38">
        <f t="shared" ref="B38:S38" si="36">SUM(B40:B51)</f>
        <v>7299</v>
      </c>
      <c r="C38" s="38">
        <f t="shared" si="36"/>
        <v>7286</v>
      </c>
      <c r="D38" s="38">
        <f t="shared" si="36"/>
        <v>8619</v>
      </c>
      <c r="E38" s="38">
        <f t="shared" si="36"/>
        <v>8448</v>
      </c>
      <c r="F38" s="38">
        <f t="shared" si="36"/>
        <v>8671</v>
      </c>
      <c r="G38" s="38">
        <f t="shared" si="36"/>
        <v>8875</v>
      </c>
      <c r="H38" s="38">
        <f t="shared" si="36"/>
        <v>9043</v>
      </c>
      <c r="I38" s="38">
        <f t="shared" si="36"/>
        <v>8994</v>
      </c>
      <c r="J38" s="38">
        <f t="shared" si="36"/>
        <v>8968</v>
      </c>
      <c r="K38" s="38">
        <f t="shared" si="36"/>
        <v>8262</v>
      </c>
      <c r="L38" s="38">
        <f t="shared" si="36"/>
        <v>8332</v>
      </c>
      <c r="M38" s="38">
        <f t="shared" si="36"/>
        <v>8073</v>
      </c>
      <c r="N38" s="38">
        <f t="shared" si="36"/>
        <v>8023</v>
      </c>
      <c r="O38" s="38">
        <f t="shared" si="36"/>
        <v>8950</v>
      </c>
      <c r="P38" s="38">
        <f t="shared" si="36"/>
        <v>9494</v>
      </c>
      <c r="Q38" s="38">
        <f t="shared" si="36"/>
        <v>10055</v>
      </c>
      <c r="R38" s="38">
        <f t="shared" si="36"/>
        <v>10269</v>
      </c>
      <c r="S38" s="38">
        <f t="shared" si="36"/>
        <v>10265</v>
      </c>
      <c r="T38" s="38">
        <f t="shared" ref="T38:U38" si="37">SUM(T40:T51)</f>
        <v>10067</v>
      </c>
      <c r="U38" s="38">
        <f t="shared" si="37"/>
        <v>10183</v>
      </c>
      <c r="V38" s="38">
        <f t="shared" ref="V38:W38" si="38">SUM(V40:V51)</f>
        <v>10492</v>
      </c>
      <c r="W38" s="38">
        <f t="shared" si="38"/>
        <v>10957</v>
      </c>
      <c r="X38" s="38">
        <f t="shared" ref="X38:AC38" si="39">SUM(X40:X51)</f>
        <v>11247</v>
      </c>
      <c r="Y38" s="38">
        <f t="shared" si="39"/>
        <v>11571</v>
      </c>
      <c r="Z38" s="38">
        <f t="shared" si="39"/>
        <v>11496</v>
      </c>
      <c r="AA38" s="38">
        <f t="shared" si="39"/>
        <v>11718</v>
      </c>
      <c r="AB38" s="38">
        <f t="shared" si="39"/>
        <v>11704</v>
      </c>
      <c r="AC38" s="38">
        <f t="shared" si="39"/>
        <v>11619</v>
      </c>
    </row>
    <row r="39" spans="1:30">
      <c r="A39" s="39" t="s">
        <v>213</v>
      </c>
      <c r="B39" s="40">
        <f t="shared" ref="B39:S39" si="40">(B38/B4)*100</f>
        <v>33.411150782751989</v>
      </c>
      <c r="C39" s="40">
        <f t="shared" si="40"/>
        <v>32.491972886193366</v>
      </c>
      <c r="D39" s="40">
        <f t="shared" si="40"/>
        <v>32.156848114017087</v>
      </c>
      <c r="E39" s="40">
        <f t="shared" si="40"/>
        <v>30.876064471327801</v>
      </c>
      <c r="F39" s="40">
        <f t="shared" si="40"/>
        <v>30.440582762857645</v>
      </c>
      <c r="G39" s="40">
        <f t="shared" si="40"/>
        <v>30.738059779032312</v>
      </c>
      <c r="H39" s="40">
        <f t="shared" si="40"/>
        <v>30.697942833865167</v>
      </c>
      <c r="I39" s="40">
        <f t="shared" si="40"/>
        <v>30.183233774078801</v>
      </c>
      <c r="J39" s="40">
        <f t="shared" si="40"/>
        <v>30.180043748948343</v>
      </c>
      <c r="K39" s="40">
        <f t="shared" si="40"/>
        <v>29.366602687140116</v>
      </c>
      <c r="L39" s="40">
        <f t="shared" si="40"/>
        <v>29.329766263024499</v>
      </c>
      <c r="M39" s="40">
        <f t="shared" si="40"/>
        <v>28.761266878050517</v>
      </c>
      <c r="N39" s="40">
        <f t="shared" si="40"/>
        <v>27.008011849458025</v>
      </c>
      <c r="O39" s="40">
        <f t="shared" si="40"/>
        <v>28.195192640897204</v>
      </c>
      <c r="P39" s="40">
        <f t="shared" si="40"/>
        <v>28.116208132200075</v>
      </c>
      <c r="Q39" s="40">
        <f t="shared" si="40"/>
        <v>27.753243168644769</v>
      </c>
      <c r="R39" s="40">
        <f t="shared" si="40"/>
        <v>27.178170654245182</v>
      </c>
      <c r="S39" s="40">
        <f t="shared" si="40"/>
        <v>26.650569878235586</v>
      </c>
      <c r="T39" s="40">
        <f t="shared" ref="T39:U39" si="41">(T38/T4)*100</f>
        <v>27.396179175964729</v>
      </c>
      <c r="U39" s="40">
        <f t="shared" si="41"/>
        <v>26.716515807424901</v>
      </c>
      <c r="V39" s="40">
        <f t="shared" ref="V39:W39" si="42">(V38/V4)*100</f>
        <v>26.430208831901652</v>
      </c>
      <c r="W39" s="40">
        <f t="shared" si="42"/>
        <v>27.088432346905982</v>
      </c>
      <c r="X39" s="40">
        <f t="shared" ref="X39:AC39" si="43">(X38/X4)*100</f>
        <v>26.938276927498745</v>
      </c>
      <c r="Y39" s="40">
        <f t="shared" si="43"/>
        <v>26.955691189488888</v>
      </c>
      <c r="Z39" s="40">
        <f t="shared" si="43"/>
        <v>26.879281722743109</v>
      </c>
      <c r="AA39" s="40">
        <f t="shared" si="43"/>
        <v>26.877379696316346</v>
      </c>
      <c r="AB39" s="40">
        <f t="shared" si="43"/>
        <v>26.53787724191098</v>
      </c>
      <c r="AC39" s="40">
        <f t="shared" si="43"/>
        <v>25.992707098275208</v>
      </c>
    </row>
    <row r="40" spans="1:30">
      <c r="A40" s="37" t="s">
        <v>134</v>
      </c>
      <c r="B40" s="41">
        <v>1054</v>
      </c>
      <c r="C40" s="41">
        <v>1112</v>
      </c>
      <c r="D40" s="41">
        <v>1357</v>
      </c>
      <c r="E40" s="41">
        <v>1311</v>
      </c>
      <c r="F40" s="41">
        <v>1232</v>
      </c>
      <c r="G40" s="41">
        <v>1358</v>
      </c>
      <c r="H40" s="41">
        <v>1259</v>
      </c>
      <c r="I40" s="41">
        <v>1296</v>
      </c>
      <c r="J40" s="41">
        <v>1241</v>
      </c>
      <c r="K40" s="41">
        <v>1155</v>
      </c>
      <c r="L40" s="41">
        <v>1066</v>
      </c>
      <c r="M40" s="41">
        <v>1122</v>
      </c>
      <c r="N40" s="41">
        <v>1065</v>
      </c>
      <c r="O40" s="41">
        <v>1197</v>
      </c>
      <c r="P40" s="41">
        <v>1296</v>
      </c>
      <c r="Q40" s="41">
        <v>1318</v>
      </c>
      <c r="R40" s="41">
        <v>1377</v>
      </c>
      <c r="S40" s="41">
        <v>1396</v>
      </c>
      <c r="T40" s="41">
        <v>1388</v>
      </c>
      <c r="U40" s="5">
        <v>1414</v>
      </c>
      <c r="V40" s="5">
        <v>1537</v>
      </c>
      <c r="W40" s="5">
        <v>1505</v>
      </c>
      <c r="X40" s="5">
        <v>1491</v>
      </c>
      <c r="Y40" s="5">
        <v>1527</v>
      </c>
      <c r="Z40" s="1">
        <v>1472</v>
      </c>
      <c r="AA40" s="1">
        <v>1595</v>
      </c>
      <c r="AB40" s="1">
        <v>1535</v>
      </c>
      <c r="AC40" s="1">
        <v>1515</v>
      </c>
      <c r="AD40" s="5"/>
    </row>
    <row r="41" spans="1:30">
      <c r="A41" s="37" t="s">
        <v>135</v>
      </c>
      <c r="B41" s="41">
        <v>854</v>
      </c>
      <c r="C41" s="41">
        <v>844</v>
      </c>
      <c r="D41" s="41">
        <v>1014</v>
      </c>
      <c r="E41" s="41">
        <v>983</v>
      </c>
      <c r="F41" s="41">
        <v>980</v>
      </c>
      <c r="G41" s="41">
        <v>1013</v>
      </c>
      <c r="H41" s="41">
        <v>997</v>
      </c>
      <c r="I41" s="41">
        <v>977</v>
      </c>
      <c r="J41" s="41">
        <v>991</v>
      </c>
      <c r="K41" s="41">
        <v>966</v>
      </c>
      <c r="L41" s="41">
        <v>1048</v>
      </c>
      <c r="M41" s="41">
        <v>980</v>
      </c>
      <c r="N41" s="41">
        <v>956</v>
      </c>
      <c r="O41" s="41">
        <v>1096</v>
      </c>
      <c r="P41" s="41">
        <v>1161</v>
      </c>
      <c r="Q41" s="41">
        <v>1188</v>
      </c>
      <c r="R41" s="41">
        <v>1233</v>
      </c>
      <c r="S41" s="41">
        <v>1311</v>
      </c>
      <c r="T41" s="41">
        <v>1207</v>
      </c>
      <c r="U41" s="1">
        <v>1231</v>
      </c>
      <c r="V41" s="5">
        <v>1252</v>
      </c>
      <c r="W41" s="5">
        <v>1313</v>
      </c>
      <c r="X41" s="5">
        <v>1380</v>
      </c>
      <c r="Y41" s="5">
        <v>1459</v>
      </c>
      <c r="Z41" s="1">
        <v>1413</v>
      </c>
      <c r="AA41" s="1">
        <v>1455</v>
      </c>
      <c r="AB41" s="1">
        <v>1466</v>
      </c>
      <c r="AC41" s="1">
        <v>1436</v>
      </c>
      <c r="AD41" s="5"/>
    </row>
    <row r="42" spans="1:30">
      <c r="A42" s="37" t="s">
        <v>132</v>
      </c>
      <c r="B42" s="41">
        <v>589</v>
      </c>
      <c r="C42" s="41">
        <v>631</v>
      </c>
      <c r="D42" s="41">
        <v>672</v>
      </c>
      <c r="E42" s="41">
        <v>663</v>
      </c>
      <c r="F42" s="41">
        <v>667</v>
      </c>
      <c r="G42" s="41">
        <v>667</v>
      </c>
      <c r="H42" s="41">
        <v>676</v>
      </c>
      <c r="I42" s="41">
        <v>629</v>
      </c>
      <c r="J42" s="41">
        <v>637</v>
      </c>
      <c r="K42" s="41">
        <v>574</v>
      </c>
      <c r="L42" s="41">
        <v>563</v>
      </c>
      <c r="M42" s="41">
        <v>489</v>
      </c>
      <c r="N42" s="41">
        <v>538</v>
      </c>
      <c r="O42" s="41">
        <v>597</v>
      </c>
      <c r="P42" s="41">
        <v>663</v>
      </c>
      <c r="Q42" s="41">
        <v>680</v>
      </c>
      <c r="R42" s="41">
        <v>737</v>
      </c>
      <c r="S42" s="41">
        <v>730</v>
      </c>
      <c r="T42" s="41">
        <v>698</v>
      </c>
      <c r="U42" s="1">
        <v>790</v>
      </c>
      <c r="V42" s="1">
        <v>813</v>
      </c>
      <c r="W42" s="1">
        <v>887</v>
      </c>
      <c r="X42" s="1">
        <v>837</v>
      </c>
      <c r="Y42" s="1">
        <v>774</v>
      </c>
      <c r="Z42" s="1">
        <v>790</v>
      </c>
      <c r="AA42" s="1">
        <v>816</v>
      </c>
      <c r="AB42" s="1">
        <v>845</v>
      </c>
      <c r="AC42" s="1">
        <v>806</v>
      </c>
    </row>
    <row r="43" spans="1:30">
      <c r="A43" s="37" t="s">
        <v>136</v>
      </c>
      <c r="B43" s="41">
        <v>389</v>
      </c>
      <c r="C43" s="41">
        <v>376</v>
      </c>
      <c r="D43" s="41">
        <v>447</v>
      </c>
      <c r="E43" s="41">
        <v>387</v>
      </c>
      <c r="F43" s="41">
        <v>415</v>
      </c>
      <c r="G43" s="41">
        <v>450</v>
      </c>
      <c r="H43" s="41">
        <v>470</v>
      </c>
      <c r="I43" s="41">
        <v>471</v>
      </c>
      <c r="J43" s="41">
        <v>487</v>
      </c>
      <c r="K43" s="41">
        <v>436</v>
      </c>
      <c r="L43" s="41">
        <v>418</v>
      </c>
      <c r="M43" s="41">
        <v>414</v>
      </c>
      <c r="N43" s="41">
        <v>433</v>
      </c>
      <c r="O43" s="41">
        <v>413</v>
      </c>
      <c r="P43" s="41">
        <v>486</v>
      </c>
      <c r="Q43" s="41">
        <v>503</v>
      </c>
      <c r="R43" s="41">
        <v>526</v>
      </c>
      <c r="S43" s="41">
        <v>446</v>
      </c>
      <c r="T43" s="41">
        <v>470</v>
      </c>
      <c r="U43" s="1">
        <v>536</v>
      </c>
      <c r="V43" s="1">
        <v>502</v>
      </c>
      <c r="W43" s="1">
        <v>565</v>
      </c>
      <c r="X43" s="1">
        <v>537</v>
      </c>
      <c r="Y43" s="1">
        <v>634</v>
      </c>
      <c r="Z43" s="1">
        <v>556</v>
      </c>
      <c r="AA43" s="1">
        <v>595</v>
      </c>
      <c r="AB43" s="1">
        <v>598</v>
      </c>
      <c r="AC43" s="1">
        <v>611</v>
      </c>
    </row>
    <row r="44" spans="1:30">
      <c r="A44" s="37" t="s">
        <v>139</v>
      </c>
      <c r="B44" s="41">
        <v>1270</v>
      </c>
      <c r="C44" s="41">
        <v>1193</v>
      </c>
      <c r="D44" s="41">
        <v>1488</v>
      </c>
      <c r="E44" s="41">
        <v>1448</v>
      </c>
      <c r="F44" s="41">
        <v>1441</v>
      </c>
      <c r="G44" s="41">
        <v>1493</v>
      </c>
      <c r="H44" s="41">
        <v>1526</v>
      </c>
      <c r="I44" s="41">
        <v>1414</v>
      </c>
      <c r="J44" s="41">
        <v>1505</v>
      </c>
      <c r="K44" s="41">
        <v>1371</v>
      </c>
      <c r="L44" s="41">
        <v>1438</v>
      </c>
      <c r="M44" s="41">
        <v>1463</v>
      </c>
      <c r="N44" s="41">
        <v>1493</v>
      </c>
      <c r="O44" s="41">
        <v>1572</v>
      </c>
      <c r="P44" s="41">
        <v>1725</v>
      </c>
      <c r="Q44" s="41">
        <v>1869</v>
      </c>
      <c r="R44" s="41">
        <v>1690</v>
      </c>
      <c r="S44" s="41">
        <v>1874</v>
      </c>
      <c r="T44" s="41">
        <v>1743</v>
      </c>
      <c r="U44" s="5">
        <v>1773</v>
      </c>
      <c r="V44" s="5">
        <v>1857</v>
      </c>
      <c r="W44" s="5">
        <v>1899</v>
      </c>
      <c r="X44" s="5">
        <v>2091</v>
      </c>
      <c r="Y44" s="5">
        <v>2051</v>
      </c>
      <c r="Z44" s="1">
        <v>1992</v>
      </c>
      <c r="AA44" s="1">
        <v>2029</v>
      </c>
      <c r="AB44" s="1">
        <v>2072</v>
      </c>
      <c r="AC44" s="1">
        <v>2034</v>
      </c>
      <c r="AD44" s="5"/>
    </row>
    <row r="45" spans="1:30">
      <c r="A45" s="37" t="s">
        <v>140</v>
      </c>
      <c r="B45" s="41">
        <v>508</v>
      </c>
      <c r="C45" s="41">
        <v>527</v>
      </c>
      <c r="D45" s="41">
        <v>651</v>
      </c>
      <c r="E45" s="41">
        <v>627</v>
      </c>
      <c r="F45" s="41">
        <v>707</v>
      </c>
      <c r="G45" s="41">
        <v>685</v>
      </c>
      <c r="H45" s="41">
        <v>763</v>
      </c>
      <c r="I45" s="41">
        <v>704</v>
      </c>
      <c r="J45" s="41">
        <v>729</v>
      </c>
      <c r="K45" s="41">
        <v>658</v>
      </c>
      <c r="L45" s="41">
        <v>604</v>
      </c>
      <c r="M45" s="41">
        <v>560</v>
      </c>
      <c r="N45" s="41">
        <v>592</v>
      </c>
      <c r="O45" s="41">
        <v>678</v>
      </c>
      <c r="P45" s="41">
        <v>751</v>
      </c>
      <c r="Q45" s="41">
        <v>819</v>
      </c>
      <c r="R45" s="41">
        <v>775</v>
      </c>
      <c r="S45" s="41">
        <v>685</v>
      </c>
      <c r="T45" s="41">
        <v>701</v>
      </c>
      <c r="U45" s="1">
        <v>736</v>
      </c>
      <c r="V45" s="1">
        <v>737</v>
      </c>
      <c r="W45" s="1">
        <v>816</v>
      </c>
      <c r="X45" s="1">
        <v>808</v>
      </c>
      <c r="Y45" s="1">
        <v>764</v>
      </c>
      <c r="Z45" s="1">
        <v>859</v>
      </c>
      <c r="AA45" s="1">
        <v>763</v>
      </c>
      <c r="AB45" s="1">
        <v>763</v>
      </c>
      <c r="AC45" s="1">
        <v>819</v>
      </c>
    </row>
    <row r="46" spans="1:30">
      <c r="A46" s="37" t="s">
        <v>141</v>
      </c>
      <c r="B46" s="41">
        <v>282</v>
      </c>
      <c r="C46" s="41">
        <v>321</v>
      </c>
      <c r="D46" s="41">
        <v>395</v>
      </c>
      <c r="E46" s="41">
        <v>382</v>
      </c>
      <c r="F46" s="41">
        <v>378</v>
      </c>
      <c r="G46" s="41">
        <v>341</v>
      </c>
      <c r="H46" s="41">
        <v>379</v>
      </c>
      <c r="I46" s="41">
        <v>404</v>
      </c>
      <c r="J46" s="41">
        <v>425</v>
      </c>
      <c r="K46" s="41">
        <v>369</v>
      </c>
      <c r="L46" s="41">
        <v>402</v>
      </c>
      <c r="M46" s="41">
        <v>432</v>
      </c>
      <c r="N46" s="41">
        <v>417</v>
      </c>
      <c r="O46" s="41">
        <v>439</v>
      </c>
      <c r="P46" s="41">
        <v>473</v>
      </c>
      <c r="Q46" s="41">
        <v>487</v>
      </c>
      <c r="R46" s="41">
        <v>510</v>
      </c>
      <c r="S46" s="41">
        <v>487</v>
      </c>
      <c r="T46" s="41">
        <v>519</v>
      </c>
      <c r="U46" s="1">
        <v>557</v>
      </c>
      <c r="V46" s="1">
        <v>610</v>
      </c>
      <c r="W46" s="1">
        <v>660</v>
      </c>
      <c r="X46" s="1">
        <v>640</v>
      </c>
      <c r="Y46" s="1">
        <v>712</v>
      </c>
      <c r="Z46" s="1">
        <v>720</v>
      </c>
      <c r="AA46" s="1">
        <v>816</v>
      </c>
      <c r="AB46" s="1">
        <v>818</v>
      </c>
      <c r="AC46" s="1">
        <v>754</v>
      </c>
    </row>
    <row r="47" spans="1:30">
      <c r="A47" s="37" t="s">
        <v>144</v>
      </c>
      <c r="B47" s="41">
        <v>214</v>
      </c>
      <c r="C47" s="41">
        <v>246</v>
      </c>
      <c r="D47" s="41">
        <v>233</v>
      </c>
      <c r="E47" s="41">
        <v>233</v>
      </c>
      <c r="F47" s="41">
        <v>239</v>
      </c>
      <c r="G47" s="41">
        <v>249</v>
      </c>
      <c r="H47" s="41">
        <v>282</v>
      </c>
      <c r="I47" s="41">
        <v>311</v>
      </c>
      <c r="J47" s="41">
        <v>311</v>
      </c>
      <c r="K47" s="41">
        <v>283</v>
      </c>
      <c r="L47" s="41">
        <v>292</v>
      </c>
      <c r="M47" s="41">
        <v>290</v>
      </c>
      <c r="N47" s="41">
        <v>274</v>
      </c>
      <c r="O47" s="41">
        <v>391</v>
      </c>
      <c r="P47" s="41">
        <v>322</v>
      </c>
      <c r="Q47" s="41">
        <v>360</v>
      </c>
      <c r="R47" s="41">
        <v>348</v>
      </c>
      <c r="S47" s="41">
        <v>359</v>
      </c>
      <c r="T47" s="41">
        <v>338</v>
      </c>
      <c r="U47" s="1">
        <v>349</v>
      </c>
      <c r="V47" s="1">
        <v>318</v>
      </c>
      <c r="W47" s="1">
        <v>388</v>
      </c>
      <c r="X47" s="1">
        <v>394</v>
      </c>
      <c r="Y47" s="1">
        <v>433</v>
      </c>
      <c r="Z47" s="1">
        <v>422</v>
      </c>
      <c r="AA47" s="1">
        <v>409</v>
      </c>
      <c r="AB47" s="1">
        <v>389</v>
      </c>
      <c r="AC47" s="1">
        <v>425</v>
      </c>
    </row>
    <row r="48" spans="1:30">
      <c r="A48" s="37" t="s">
        <v>143</v>
      </c>
      <c r="B48" s="41">
        <v>76</v>
      </c>
      <c r="C48" s="41">
        <v>66</v>
      </c>
      <c r="D48" s="41">
        <v>79</v>
      </c>
      <c r="E48" s="41">
        <v>74</v>
      </c>
      <c r="F48" s="41">
        <v>74</v>
      </c>
      <c r="G48" s="41">
        <v>84</v>
      </c>
      <c r="H48" s="41">
        <v>79</v>
      </c>
      <c r="I48" s="41">
        <v>87</v>
      </c>
      <c r="J48" s="41">
        <v>71</v>
      </c>
      <c r="K48" s="41">
        <v>68</v>
      </c>
      <c r="L48" s="41">
        <v>58</v>
      </c>
      <c r="M48" s="41">
        <v>90</v>
      </c>
      <c r="N48" s="41">
        <v>90</v>
      </c>
      <c r="O48" s="41">
        <v>189</v>
      </c>
      <c r="P48" s="41">
        <v>151</v>
      </c>
      <c r="Q48" s="41">
        <v>182</v>
      </c>
      <c r="R48" s="41">
        <v>244</v>
      </c>
      <c r="S48" s="41">
        <v>175</v>
      </c>
      <c r="T48" s="41">
        <v>136</v>
      </c>
      <c r="U48" s="1">
        <v>139</v>
      </c>
      <c r="V48" s="1">
        <v>151</v>
      </c>
      <c r="W48" s="1">
        <v>153</v>
      </c>
      <c r="X48" s="1">
        <v>163</v>
      </c>
      <c r="Y48" s="1">
        <v>193</v>
      </c>
      <c r="Z48" s="1">
        <v>191</v>
      </c>
      <c r="AA48" s="1">
        <v>185</v>
      </c>
      <c r="AB48" s="1">
        <v>186</v>
      </c>
      <c r="AC48" s="1">
        <v>174</v>
      </c>
    </row>
    <row r="49" spans="1:35">
      <c r="A49" s="37" t="s">
        <v>150</v>
      </c>
      <c r="B49" s="41">
        <v>1278</v>
      </c>
      <c r="C49" s="41">
        <v>1182</v>
      </c>
      <c r="D49" s="41">
        <v>1464</v>
      </c>
      <c r="E49" s="41">
        <v>1520</v>
      </c>
      <c r="F49" s="41">
        <v>1599</v>
      </c>
      <c r="G49" s="41">
        <v>1644</v>
      </c>
      <c r="H49" s="41">
        <v>1678</v>
      </c>
      <c r="I49" s="41">
        <v>1724</v>
      </c>
      <c r="J49" s="41">
        <v>1643</v>
      </c>
      <c r="K49" s="41">
        <v>1521</v>
      </c>
      <c r="L49" s="41">
        <v>1559</v>
      </c>
      <c r="M49" s="41">
        <v>1435</v>
      </c>
      <c r="N49" s="41">
        <v>1373</v>
      </c>
      <c r="O49" s="41">
        <v>1541</v>
      </c>
      <c r="P49" s="41">
        <v>1646</v>
      </c>
      <c r="Q49" s="41">
        <v>1684</v>
      </c>
      <c r="R49" s="41">
        <v>1847</v>
      </c>
      <c r="S49" s="41">
        <v>1787</v>
      </c>
      <c r="T49" s="41">
        <v>1923</v>
      </c>
      <c r="U49" s="5">
        <v>1681</v>
      </c>
      <c r="V49" s="5">
        <v>1639</v>
      </c>
      <c r="W49" s="5">
        <v>1735</v>
      </c>
      <c r="X49" s="5">
        <v>1771</v>
      </c>
      <c r="Y49" s="5">
        <v>1856</v>
      </c>
      <c r="Z49" s="1">
        <v>1893</v>
      </c>
      <c r="AA49" s="1">
        <v>1876</v>
      </c>
      <c r="AB49" s="1">
        <v>1899</v>
      </c>
      <c r="AC49" s="1">
        <v>1939</v>
      </c>
      <c r="AD49" s="5"/>
    </row>
    <row r="50" spans="1:35">
      <c r="A50" s="37" t="s">
        <v>154</v>
      </c>
      <c r="B50" s="41">
        <v>64</v>
      </c>
      <c r="C50" s="41">
        <v>48</v>
      </c>
      <c r="D50" s="41">
        <v>58</v>
      </c>
      <c r="E50" s="41">
        <v>49</v>
      </c>
      <c r="F50" s="41">
        <v>59</v>
      </c>
      <c r="G50" s="41">
        <v>58</v>
      </c>
      <c r="H50" s="41">
        <v>89</v>
      </c>
      <c r="I50" s="41">
        <v>93</v>
      </c>
      <c r="J50" s="41">
        <v>69</v>
      </c>
      <c r="K50" s="41">
        <v>63</v>
      </c>
      <c r="L50" s="41">
        <v>77</v>
      </c>
      <c r="M50" s="41">
        <v>72</v>
      </c>
      <c r="N50" s="41">
        <v>89</v>
      </c>
      <c r="O50" s="41">
        <v>81</v>
      </c>
      <c r="P50" s="41">
        <v>74</v>
      </c>
      <c r="Q50" s="41">
        <v>89</v>
      </c>
      <c r="R50" s="41">
        <v>106</v>
      </c>
      <c r="S50" s="41">
        <v>104</v>
      </c>
      <c r="T50" s="41">
        <v>99</v>
      </c>
      <c r="U50" s="1">
        <v>91</v>
      </c>
      <c r="V50" s="1">
        <v>113</v>
      </c>
      <c r="W50" s="1">
        <v>112</v>
      </c>
      <c r="X50" s="1">
        <v>135</v>
      </c>
      <c r="Y50" s="1">
        <v>147</v>
      </c>
      <c r="Z50" s="1">
        <v>177</v>
      </c>
      <c r="AA50" s="1">
        <v>126</v>
      </c>
      <c r="AB50" s="1">
        <v>145</v>
      </c>
      <c r="AC50" s="1">
        <v>123</v>
      </c>
    </row>
    <row r="51" spans="1:35">
      <c r="A51" s="42" t="s">
        <v>157</v>
      </c>
      <c r="B51" s="43">
        <v>721</v>
      </c>
      <c r="C51" s="43">
        <v>740</v>
      </c>
      <c r="D51" s="43">
        <v>761</v>
      </c>
      <c r="E51" s="43">
        <v>771</v>
      </c>
      <c r="F51" s="43">
        <v>880</v>
      </c>
      <c r="G51" s="43">
        <v>833</v>
      </c>
      <c r="H51" s="43">
        <v>845</v>
      </c>
      <c r="I51" s="43">
        <v>884</v>
      </c>
      <c r="J51" s="43">
        <v>859</v>
      </c>
      <c r="K51" s="43">
        <v>798</v>
      </c>
      <c r="L51" s="43">
        <v>807</v>
      </c>
      <c r="M51" s="43">
        <v>726</v>
      </c>
      <c r="N51" s="43">
        <v>703</v>
      </c>
      <c r="O51" s="43">
        <v>756</v>
      </c>
      <c r="P51" s="43">
        <v>746</v>
      </c>
      <c r="Q51" s="43">
        <v>876</v>
      </c>
      <c r="R51" s="43">
        <v>876</v>
      </c>
      <c r="S51" s="43">
        <v>911</v>
      </c>
      <c r="T51" s="43">
        <v>845</v>
      </c>
      <c r="U51" s="1">
        <v>886</v>
      </c>
      <c r="V51" s="1">
        <v>963</v>
      </c>
      <c r="W51" s="1">
        <v>924</v>
      </c>
      <c r="X51" s="1">
        <v>1000</v>
      </c>
      <c r="Y51" s="1">
        <v>1021</v>
      </c>
      <c r="Z51" s="1">
        <v>1011</v>
      </c>
      <c r="AA51" s="1">
        <v>1053</v>
      </c>
      <c r="AB51" s="1">
        <v>988</v>
      </c>
      <c r="AC51" s="1">
        <v>983</v>
      </c>
    </row>
    <row r="52" spans="1:35">
      <c r="A52" s="37" t="s">
        <v>212</v>
      </c>
      <c r="B52" s="38">
        <f t="shared" ref="B52:S52" si="44">SUM(B54:B62)</f>
        <v>3092</v>
      </c>
      <c r="C52" s="38">
        <f t="shared" si="44"/>
        <v>3200</v>
      </c>
      <c r="D52" s="38">
        <f t="shared" si="44"/>
        <v>3873</v>
      </c>
      <c r="E52" s="38">
        <f t="shared" si="44"/>
        <v>4014</v>
      </c>
      <c r="F52" s="38">
        <f t="shared" si="44"/>
        <v>4061</v>
      </c>
      <c r="G52" s="38">
        <f t="shared" si="44"/>
        <v>4138</v>
      </c>
      <c r="H52" s="38">
        <f t="shared" si="44"/>
        <v>4119</v>
      </c>
      <c r="I52" s="38">
        <f t="shared" si="44"/>
        <v>4114</v>
      </c>
      <c r="J52" s="38">
        <f t="shared" si="44"/>
        <v>4136</v>
      </c>
      <c r="K52" s="38">
        <f t="shared" si="44"/>
        <v>3825</v>
      </c>
      <c r="L52" s="38">
        <f t="shared" si="44"/>
        <v>3926</v>
      </c>
      <c r="M52" s="38">
        <f t="shared" si="44"/>
        <v>3632</v>
      </c>
      <c r="N52" s="38">
        <f t="shared" si="44"/>
        <v>4187</v>
      </c>
      <c r="O52" s="38">
        <f t="shared" si="44"/>
        <v>4217</v>
      </c>
      <c r="P52" s="38">
        <f t="shared" si="44"/>
        <v>4556</v>
      </c>
      <c r="Q52" s="38">
        <f t="shared" si="44"/>
        <v>4711</v>
      </c>
      <c r="R52" s="38">
        <f t="shared" si="44"/>
        <v>4902</v>
      </c>
      <c r="S52" s="38">
        <f t="shared" si="44"/>
        <v>4859</v>
      </c>
      <c r="T52" s="38">
        <f t="shared" ref="T52:U52" si="45">SUM(T54:T62)</f>
        <v>4401</v>
      </c>
      <c r="U52" s="38">
        <f t="shared" si="45"/>
        <v>4730</v>
      </c>
      <c r="V52" s="38">
        <f t="shared" ref="V52:W52" si="46">SUM(V54:V62)</f>
        <v>4758</v>
      </c>
      <c r="W52" s="38">
        <f t="shared" si="46"/>
        <v>4543</v>
      </c>
      <c r="X52" s="38">
        <f t="shared" ref="X52:AC52" si="47">SUM(X54:X62)</f>
        <v>5017</v>
      </c>
      <c r="Y52" s="38">
        <f t="shared" si="47"/>
        <v>4916</v>
      </c>
      <c r="Z52" s="38">
        <f t="shared" si="47"/>
        <v>5171</v>
      </c>
      <c r="AA52" s="38">
        <f t="shared" si="47"/>
        <v>5146</v>
      </c>
      <c r="AB52" s="38">
        <f t="shared" si="47"/>
        <v>5182</v>
      </c>
      <c r="AC52" s="38">
        <f t="shared" si="47"/>
        <v>5368</v>
      </c>
    </row>
    <row r="53" spans="1:35">
      <c r="A53" s="39" t="s">
        <v>213</v>
      </c>
      <c r="B53" s="40">
        <f t="shared" ref="B53:S53" si="48">(B52/B4)*100</f>
        <v>14.153620800146479</v>
      </c>
      <c r="C53" s="40">
        <f t="shared" si="48"/>
        <v>14.270424545130217</v>
      </c>
      <c r="D53" s="40">
        <f t="shared" si="48"/>
        <v>14.449875013990971</v>
      </c>
      <c r="E53" s="40">
        <f t="shared" si="48"/>
        <v>14.67051642849311</v>
      </c>
      <c r="F53" s="40">
        <f t="shared" si="48"/>
        <v>14.256626294540986</v>
      </c>
      <c r="G53" s="40">
        <f t="shared" si="48"/>
        <v>14.331728604578672</v>
      </c>
      <c r="H53" s="40">
        <f t="shared" si="48"/>
        <v>13.982619322425146</v>
      </c>
      <c r="I53" s="40">
        <f t="shared" si="48"/>
        <v>13.806295724545272</v>
      </c>
      <c r="J53" s="40">
        <f t="shared" si="48"/>
        <v>13.91889618038028</v>
      </c>
      <c r="K53" s="40">
        <f t="shared" si="48"/>
        <v>13.595649392194497</v>
      </c>
      <c r="L53" s="40">
        <f t="shared" si="48"/>
        <v>13.820050689946495</v>
      </c>
      <c r="M53" s="40">
        <f t="shared" si="48"/>
        <v>12.939541843314689</v>
      </c>
      <c r="N53" s="40">
        <f t="shared" si="48"/>
        <v>14.094795664175589</v>
      </c>
      <c r="O53" s="40">
        <f t="shared" si="48"/>
        <v>13.284818700185868</v>
      </c>
      <c r="P53" s="40">
        <f t="shared" si="48"/>
        <v>13.492463055646045</v>
      </c>
      <c r="Q53" s="40">
        <f t="shared" si="48"/>
        <v>13.00303615788021</v>
      </c>
      <c r="R53" s="40">
        <f t="shared" si="48"/>
        <v>12.973745500741055</v>
      </c>
      <c r="S53" s="40">
        <f t="shared" si="48"/>
        <v>12.615208868811173</v>
      </c>
      <c r="T53" s="40">
        <f t="shared" ref="T53:U53" si="49">(T52/T4)*100</f>
        <v>11.976813802862898</v>
      </c>
      <c r="U53" s="40">
        <f t="shared" si="49"/>
        <v>12.40981240981241</v>
      </c>
      <c r="V53" s="40">
        <f t="shared" ref="V53:W53" si="50">(V52/V4)*100</f>
        <v>11.985792377257727</v>
      </c>
      <c r="W53" s="40">
        <f t="shared" si="50"/>
        <v>11.23142722935054</v>
      </c>
      <c r="X53" s="40">
        <f t="shared" ref="X53:AC53" si="51">(X52/X4)*100</f>
        <v>12.01647864721803</v>
      </c>
      <c r="Y53" s="40">
        <f t="shared" si="51"/>
        <v>11.452266691515632</v>
      </c>
      <c r="Z53" s="40">
        <f t="shared" si="51"/>
        <v>12.090532862587388</v>
      </c>
      <c r="AA53" s="40">
        <f t="shared" si="51"/>
        <v>11.803293729070141</v>
      </c>
      <c r="AB53" s="40">
        <f t="shared" si="51"/>
        <v>11.749767589506382</v>
      </c>
      <c r="AC53" s="40">
        <f t="shared" si="51"/>
        <v>12.008679895304356</v>
      </c>
    </row>
    <row r="54" spans="1:35">
      <c r="A54" s="37" t="s">
        <v>129</v>
      </c>
      <c r="B54" s="41">
        <v>193</v>
      </c>
      <c r="C54" s="41">
        <v>180</v>
      </c>
      <c r="D54" s="41">
        <v>206</v>
      </c>
      <c r="E54" s="41">
        <v>216</v>
      </c>
      <c r="F54" s="41">
        <v>246</v>
      </c>
      <c r="G54" s="41">
        <v>265</v>
      </c>
      <c r="H54" s="41">
        <v>239</v>
      </c>
      <c r="I54" s="41">
        <v>254</v>
      </c>
      <c r="J54" s="41">
        <v>253</v>
      </c>
      <c r="K54" s="41">
        <v>227</v>
      </c>
      <c r="L54" s="41">
        <v>275</v>
      </c>
      <c r="M54" s="41">
        <v>237</v>
      </c>
      <c r="N54" s="41">
        <v>257</v>
      </c>
      <c r="O54" s="41">
        <v>261</v>
      </c>
      <c r="P54" s="41">
        <v>327</v>
      </c>
      <c r="Q54" s="41">
        <v>361</v>
      </c>
      <c r="R54" s="41">
        <v>305</v>
      </c>
      <c r="S54" s="41">
        <v>260</v>
      </c>
      <c r="T54" s="41">
        <v>278</v>
      </c>
      <c r="U54" s="1">
        <v>294</v>
      </c>
      <c r="V54" s="1">
        <v>341</v>
      </c>
      <c r="W54" s="1">
        <v>329</v>
      </c>
      <c r="X54" s="1">
        <v>336</v>
      </c>
      <c r="Y54" s="1">
        <v>358</v>
      </c>
      <c r="Z54" s="1">
        <v>362</v>
      </c>
      <c r="AA54" s="1">
        <v>382</v>
      </c>
      <c r="AB54" s="1">
        <v>361</v>
      </c>
      <c r="AC54" s="1">
        <v>383</v>
      </c>
    </row>
    <row r="55" spans="1:35">
      <c r="A55" s="37" t="s">
        <v>138</v>
      </c>
      <c r="B55" s="41">
        <v>25</v>
      </c>
      <c r="C55" s="41">
        <v>25</v>
      </c>
      <c r="D55" s="41">
        <v>51</v>
      </c>
      <c r="E55" s="41">
        <v>40</v>
      </c>
      <c r="F55" s="41">
        <v>43</v>
      </c>
      <c r="G55" s="41">
        <v>40</v>
      </c>
      <c r="H55" s="41">
        <v>47</v>
      </c>
      <c r="I55" s="41">
        <v>60</v>
      </c>
      <c r="J55" s="41">
        <v>49</v>
      </c>
      <c r="K55" s="41">
        <v>38</v>
      </c>
      <c r="L55" s="41">
        <v>49</v>
      </c>
      <c r="M55" s="41">
        <v>45</v>
      </c>
      <c r="N55" s="41">
        <v>40</v>
      </c>
      <c r="O55" s="41">
        <v>40</v>
      </c>
      <c r="P55" s="41">
        <v>38</v>
      </c>
      <c r="Q55" s="41">
        <v>50</v>
      </c>
      <c r="R55" s="41">
        <v>50</v>
      </c>
      <c r="S55" s="41">
        <v>61</v>
      </c>
      <c r="T55" s="41">
        <v>52</v>
      </c>
      <c r="U55" s="1">
        <v>60</v>
      </c>
      <c r="V55" s="1">
        <v>61</v>
      </c>
      <c r="W55" s="1">
        <v>54</v>
      </c>
      <c r="X55" s="1">
        <v>83</v>
      </c>
      <c r="Y55" s="1">
        <v>81</v>
      </c>
      <c r="Z55" s="1">
        <v>83</v>
      </c>
      <c r="AA55" s="1">
        <v>63</v>
      </c>
      <c r="AB55" s="1">
        <v>60</v>
      </c>
      <c r="AC55" s="1">
        <v>79</v>
      </c>
    </row>
    <row r="56" spans="1:35">
      <c r="A56" s="37" t="s">
        <v>137</v>
      </c>
      <c r="B56" s="41">
        <v>333</v>
      </c>
      <c r="C56" s="41">
        <v>298</v>
      </c>
      <c r="D56" s="41">
        <v>476</v>
      </c>
      <c r="E56" s="41">
        <v>443</v>
      </c>
      <c r="F56" s="41">
        <v>417</v>
      </c>
      <c r="G56" s="41">
        <v>379</v>
      </c>
      <c r="H56" s="41">
        <v>440</v>
      </c>
      <c r="I56" s="41">
        <v>367</v>
      </c>
      <c r="J56" s="41">
        <v>390</v>
      </c>
      <c r="K56" s="41">
        <v>346</v>
      </c>
      <c r="L56" s="41">
        <v>380</v>
      </c>
      <c r="M56" s="41">
        <v>346</v>
      </c>
      <c r="N56" s="41">
        <v>438</v>
      </c>
      <c r="O56" s="41">
        <v>424</v>
      </c>
      <c r="P56" s="41">
        <v>395</v>
      </c>
      <c r="Q56" s="41">
        <v>478</v>
      </c>
      <c r="R56" s="41">
        <v>437</v>
      </c>
      <c r="S56" s="41">
        <v>405</v>
      </c>
      <c r="T56" s="41">
        <v>425</v>
      </c>
      <c r="U56" s="5">
        <v>428</v>
      </c>
      <c r="V56" s="5">
        <v>439</v>
      </c>
      <c r="W56" s="5">
        <v>457</v>
      </c>
      <c r="X56" s="5">
        <v>488</v>
      </c>
      <c r="Y56" s="5">
        <v>484</v>
      </c>
      <c r="Z56" s="1">
        <v>539</v>
      </c>
      <c r="AA56" s="1">
        <v>538</v>
      </c>
      <c r="AB56" s="1">
        <v>548</v>
      </c>
      <c r="AC56" s="1">
        <v>624</v>
      </c>
      <c r="AD56" s="5"/>
    </row>
    <row r="57" spans="1:35">
      <c r="A57" s="37" t="s">
        <v>145</v>
      </c>
      <c r="B57" s="41">
        <v>33</v>
      </c>
      <c r="C57" s="41">
        <v>30</v>
      </c>
      <c r="D57" s="41">
        <v>37</v>
      </c>
      <c r="E57" s="41">
        <v>50</v>
      </c>
      <c r="F57" s="41">
        <v>59</v>
      </c>
      <c r="G57" s="41">
        <v>51</v>
      </c>
      <c r="H57" s="41">
        <v>51</v>
      </c>
      <c r="I57" s="41">
        <v>61</v>
      </c>
      <c r="J57" s="41">
        <v>74</v>
      </c>
      <c r="K57" s="41">
        <v>48</v>
      </c>
      <c r="L57" s="41">
        <v>49</v>
      </c>
      <c r="M57" s="41">
        <v>54</v>
      </c>
      <c r="N57" s="41">
        <v>46</v>
      </c>
      <c r="O57" s="41">
        <v>63</v>
      </c>
      <c r="P57" s="41">
        <v>55</v>
      </c>
      <c r="Q57" s="41">
        <v>59</v>
      </c>
      <c r="R57" s="41">
        <v>48</v>
      </c>
      <c r="S57" s="41">
        <v>56</v>
      </c>
      <c r="T57" s="41">
        <v>64</v>
      </c>
      <c r="U57" s="1">
        <v>60</v>
      </c>
      <c r="V57" s="1">
        <v>67</v>
      </c>
      <c r="W57" s="1">
        <v>65</v>
      </c>
      <c r="X57" s="1">
        <v>81</v>
      </c>
      <c r="Y57" s="1">
        <v>89</v>
      </c>
      <c r="Z57" s="1">
        <v>72</v>
      </c>
      <c r="AA57" s="1">
        <v>74</v>
      </c>
      <c r="AB57" s="1">
        <v>90</v>
      </c>
      <c r="AC57" s="1">
        <v>91</v>
      </c>
    </row>
    <row r="58" spans="1:35">
      <c r="A58" s="37" t="s">
        <v>146</v>
      </c>
      <c r="B58" s="41">
        <v>345</v>
      </c>
      <c r="C58" s="41">
        <v>388</v>
      </c>
      <c r="D58" s="41">
        <v>521</v>
      </c>
      <c r="E58" s="41">
        <v>552</v>
      </c>
      <c r="F58" s="41">
        <v>568</v>
      </c>
      <c r="G58" s="41">
        <v>584</v>
      </c>
      <c r="H58" s="41">
        <v>580</v>
      </c>
      <c r="I58" s="41">
        <v>566</v>
      </c>
      <c r="J58" s="41">
        <v>544</v>
      </c>
      <c r="K58" s="41">
        <v>534</v>
      </c>
      <c r="L58" s="41">
        <v>548</v>
      </c>
      <c r="M58" s="41">
        <v>573</v>
      </c>
      <c r="N58" s="41">
        <v>699</v>
      </c>
      <c r="O58" s="41">
        <v>623</v>
      </c>
      <c r="P58" s="41">
        <v>667</v>
      </c>
      <c r="Q58" s="41">
        <v>666</v>
      </c>
      <c r="R58" s="41">
        <v>803</v>
      </c>
      <c r="S58" s="41">
        <v>803</v>
      </c>
      <c r="T58" s="41">
        <v>807</v>
      </c>
      <c r="U58" s="1">
        <v>820</v>
      </c>
      <c r="V58" s="1">
        <v>823</v>
      </c>
      <c r="W58" s="1">
        <v>602</v>
      </c>
      <c r="X58" s="1">
        <v>800</v>
      </c>
      <c r="Y58" s="1">
        <v>840</v>
      </c>
      <c r="Z58" s="1">
        <v>885</v>
      </c>
      <c r="AA58" s="1">
        <v>899</v>
      </c>
      <c r="AB58" s="1">
        <v>1016</v>
      </c>
      <c r="AC58" s="1">
        <v>1026</v>
      </c>
      <c r="AD58" s="5"/>
    </row>
    <row r="59" spans="1:35">
      <c r="A59" s="37" t="s">
        <v>149</v>
      </c>
      <c r="B59" s="41">
        <v>1008</v>
      </c>
      <c r="C59" s="41">
        <v>1072</v>
      </c>
      <c r="D59" s="41">
        <v>1209</v>
      </c>
      <c r="E59" s="41">
        <v>1390</v>
      </c>
      <c r="F59" s="41">
        <v>1357</v>
      </c>
      <c r="G59" s="41">
        <v>1375</v>
      </c>
      <c r="H59" s="41">
        <v>1400</v>
      </c>
      <c r="I59" s="41">
        <v>1348</v>
      </c>
      <c r="J59" s="41">
        <v>1362</v>
      </c>
      <c r="K59" s="41">
        <v>1245</v>
      </c>
      <c r="L59" s="41">
        <v>1289</v>
      </c>
      <c r="M59" s="41">
        <v>1130</v>
      </c>
      <c r="N59" s="41">
        <v>1199</v>
      </c>
      <c r="O59" s="41">
        <v>1293</v>
      </c>
      <c r="P59" s="41">
        <v>1387</v>
      </c>
      <c r="Q59" s="41">
        <v>1397</v>
      </c>
      <c r="R59" s="41">
        <v>1505</v>
      </c>
      <c r="S59" s="41">
        <v>1502</v>
      </c>
      <c r="T59" s="41">
        <v>1276</v>
      </c>
      <c r="U59" s="5">
        <v>1401</v>
      </c>
      <c r="V59" s="5">
        <v>1360</v>
      </c>
      <c r="W59" s="5">
        <v>1425</v>
      </c>
      <c r="X59" s="5">
        <v>1540</v>
      </c>
      <c r="Y59" s="5">
        <v>1457</v>
      </c>
      <c r="Z59" s="1">
        <v>1548</v>
      </c>
      <c r="AA59" s="1">
        <v>1483</v>
      </c>
      <c r="AB59" s="1">
        <v>1463</v>
      </c>
      <c r="AC59" s="1">
        <v>1517</v>
      </c>
      <c r="AD59" s="5"/>
    </row>
    <row r="60" spans="1:35">
      <c r="A60" s="37" t="s">
        <v>152</v>
      </c>
      <c r="B60" s="41">
        <v>1056</v>
      </c>
      <c r="C60" s="41">
        <v>1085</v>
      </c>
      <c r="D60" s="41">
        <v>1220</v>
      </c>
      <c r="E60" s="41">
        <v>1172</v>
      </c>
      <c r="F60" s="41">
        <v>1218</v>
      </c>
      <c r="G60" s="41">
        <v>1283</v>
      </c>
      <c r="H60" s="41">
        <v>1223</v>
      </c>
      <c r="I60" s="41">
        <v>1325</v>
      </c>
      <c r="J60" s="41">
        <v>1334</v>
      </c>
      <c r="K60" s="41">
        <v>1251</v>
      </c>
      <c r="L60" s="41">
        <v>1189</v>
      </c>
      <c r="M60" s="41">
        <v>1131</v>
      </c>
      <c r="N60" s="41">
        <v>1370</v>
      </c>
      <c r="O60" s="41">
        <v>1376</v>
      </c>
      <c r="P60" s="41">
        <v>1558</v>
      </c>
      <c r="Q60" s="41">
        <v>1557</v>
      </c>
      <c r="R60" s="41">
        <v>1595</v>
      </c>
      <c r="S60" s="41">
        <v>1618</v>
      </c>
      <c r="T60" s="41">
        <v>1329</v>
      </c>
      <c r="U60" s="5">
        <v>1522</v>
      </c>
      <c r="V60" s="5">
        <v>1511</v>
      </c>
      <c r="W60" s="5">
        <v>1422</v>
      </c>
      <c r="X60" s="5">
        <v>1506</v>
      </c>
      <c r="Y60" s="5">
        <v>1431</v>
      </c>
      <c r="Z60" s="1">
        <v>1504</v>
      </c>
      <c r="AA60" s="1">
        <v>1529</v>
      </c>
      <c r="AB60" s="1">
        <v>1462</v>
      </c>
      <c r="AC60" s="1">
        <v>1437</v>
      </c>
      <c r="AD60" s="5"/>
    </row>
    <row r="61" spans="1:35">
      <c r="A61" s="37" t="s">
        <v>153</v>
      </c>
      <c r="B61" s="41">
        <v>66</v>
      </c>
      <c r="C61" s="41">
        <v>81</v>
      </c>
      <c r="D61" s="41">
        <v>106</v>
      </c>
      <c r="E61" s="41">
        <v>98</v>
      </c>
      <c r="F61" s="41">
        <v>91</v>
      </c>
      <c r="G61" s="41">
        <v>108</v>
      </c>
      <c r="H61" s="41">
        <v>82</v>
      </c>
      <c r="I61" s="41">
        <v>87</v>
      </c>
      <c r="J61" s="41">
        <v>71</v>
      </c>
      <c r="K61" s="41">
        <v>86</v>
      </c>
      <c r="L61" s="41">
        <v>89</v>
      </c>
      <c r="M61" s="41">
        <v>81</v>
      </c>
      <c r="N61" s="41">
        <v>85</v>
      </c>
      <c r="O61" s="41">
        <v>78</v>
      </c>
      <c r="P61" s="41">
        <v>68</v>
      </c>
      <c r="Q61" s="41">
        <v>86</v>
      </c>
      <c r="R61" s="41">
        <v>75</v>
      </c>
      <c r="S61" s="41">
        <v>93</v>
      </c>
      <c r="T61" s="41">
        <v>93</v>
      </c>
      <c r="U61" s="1">
        <v>87</v>
      </c>
      <c r="V61" s="1">
        <v>94</v>
      </c>
      <c r="W61" s="1">
        <v>105</v>
      </c>
      <c r="X61" s="1">
        <v>112</v>
      </c>
      <c r="Y61" s="1">
        <v>97</v>
      </c>
      <c r="Z61" s="1">
        <v>100</v>
      </c>
      <c r="AA61" s="1">
        <v>109</v>
      </c>
      <c r="AB61" s="1">
        <v>116</v>
      </c>
      <c r="AC61" s="1">
        <v>111</v>
      </c>
    </row>
    <row r="62" spans="1:35">
      <c r="A62" s="42" t="s">
        <v>156</v>
      </c>
      <c r="B62" s="43">
        <v>33</v>
      </c>
      <c r="C62" s="43">
        <v>41</v>
      </c>
      <c r="D62" s="43">
        <v>47</v>
      </c>
      <c r="E62" s="43">
        <v>53</v>
      </c>
      <c r="F62" s="43">
        <v>62</v>
      </c>
      <c r="G62" s="43">
        <v>53</v>
      </c>
      <c r="H62" s="43">
        <v>57</v>
      </c>
      <c r="I62" s="43">
        <v>46</v>
      </c>
      <c r="J62" s="43">
        <v>59</v>
      </c>
      <c r="K62" s="43">
        <v>50</v>
      </c>
      <c r="L62" s="43">
        <v>58</v>
      </c>
      <c r="M62" s="43">
        <v>35</v>
      </c>
      <c r="N62" s="43">
        <v>53</v>
      </c>
      <c r="O62" s="43">
        <v>59</v>
      </c>
      <c r="P62" s="43">
        <v>61</v>
      </c>
      <c r="Q62" s="43">
        <v>57</v>
      </c>
      <c r="R62" s="43">
        <v>84</v>
      </c>
      <c r="S62" s="43">
        <v>61</v>
      </c>
      <c r="T62" s="43">
        <v>77</v>
      </c>
      <c r="U62" s="1">
        <v>58</v>
      </c>
      <c r="V62" s="6">
        <v>62</v>
      </c>
      <c r="W62" s="1">
        <v>84</v>
      </c>
      <c r="X62" s="1">
        <v>71</v>
      </c>
      <c r="Y62" s="1">
        <v>79</v>
      </c>
      <c r="Z62" s="1">
        <v>78</v>
      </c>
      <c r="AA62" s="1">
        <v>69</v>
      </c>
      <c r="AB62" s="1">
        <v>66</v>
      </c>
      <c r="AC62" s="1">
        <v>100</v>
      </c>
    </row>
    <row r="63" spans="1:35">
      <c r="A63" s="45" t="s">
        <v>130</v>
      </c>
      <c r="B63" s="44"/>
      <c r="C63" s="44">
        <v>0</v>
      </c>
      <c r="D63" s="44">
        <v>0</v>
      </c>
      <c r="E63" s="44">
        <v>0</v>
      </c>
      <c r="F63" s="44">
        <v>0</v>
      </c>
      <c r="G63" s="44"/>
      <c r="H63" s="44"/>
      <c r="I63" s="44"/>
      <c r="J63" s="44"/>
      <c r="K63" s="44">
        <v>0</v>
      </c>
      <c r="L63" s="44">
        <v>0</v>
      </c>
      <c r="M63" s="44"/>
      <c r="N63" s="44"/>
      <c r="O63" s="44"/>
      <c r="P63" s="44"/>
      <c r="Q63" s="44"/>
      <c r="R63" s="44"/>
      <c r="S63" s="44"/>
      <c r="T63" s="44">
        <v>0</v>
      </c>
      <c r="U63" s="44"/>
      <c r="V63" s="97"/>
      <c r="W63" s="97"/>
      <c r="X63" s="97"/>
      <c r="Y63" s="97"/>
      <c r="Z63" s="44"/>
      <c r="AA63" s="44"/>
      <c r="AB63" s="44"/>
      <c r="AC63" s="44"/>
    </row>
    <row r="64" spans="1:35">
      <c r="Z64" s="3"/>
      <c r="AA64" s="3"/>
      <c r="AB64" s="3"/>
      <c r="AC64" s="3"/>
      <c r="AI64" s="3"/>
    </row>
    <row r="65" spans="2:35">
      <c r="B65" s="1" t="s">
        <v>101</v>
      </c>
      <c r="C65" s="1" t="s">
        <v>101</v>
      </c>
      <c r="D65" s="1" t="s">
        <v>101</v>
      </c>
      <c r="E65" s="1" t="s">
        <v>101</v>
      </c>
      <c r="F65" s="1" t="s">
        <v>101</v>
      </c>
      <c r="G65" s="1" t="s">
        <v>73</v>
      </c>
      <c r="H65" s="1" t="s">
        <v>73</v>
      </c>
      <c r="I65" s="1" t="s">
        <v>73</v>
      </c>
      <c r="J65" s="1" t="s">
        <v>73</v>
      </c>
      <c r="K65" s="1" t="s">
        <v>73</v>
      </c>
      <c r="L65" s="1" t="s">
        <v>73</v>
      </c>
      <c r="M65" s="1" t="s">
        <v>73</v>
      </c>
      <c r="S65" s="1" t="s">
        <v>73</v>
      </c>
      <c r="Z65" s="3"/>
      <c r="AA65" s="3"/>
      <c r="AB65" s="3"/>
      <c r="AC65" s="3" t="s">
        <v>73</v>
      </c>
    </row>
    <row r="66" spans="2:35">
      <c r="B66" s="1" t="s">
        <v>31</v>
      </c>
      <c r="C66" s="1" t="s">
        <v>31</v>
      </c>
      <c r="D66" s="1" t="s">
        <v>31</v>
      </c>
      <c r="E66" s="1" t="s">
        <v>31</v>
      </c>
      <c r="F66" s="1" t="s">
        <v>31</v>
      </c>
      <c r="G66" s="1" t="s">
        <v>78</v>
      </c>
      <c r="H66" s="1" t="s">
        <v>78</v>
      </c>
      <c r="I66" s="1" t="s">
        <v>78</v>
      </c>
      <c r="J66" s="1" t="s">
        <v>78</v>
      </c>
      <c r="K66" s="1" t="s">
        <v>78</v>
      </c>
      <c r="L66" s="1" t="s">
        <v>78</v>
      </c>
      <c r="M66" s="1" t="s">
        <v>168</v>
      </c>
      <c r="S66" s="1" t="s">
        <v>168</v>
      </c>
      <c r="Z66" s="3"/>
      <c r="AA66" s="3"/>
      <c r="AB66" s="3"/>
      <c r="AC66" s="1" t="s">
        <v>168</v>
      </c>
    </row>
    <row r="67" spans="2:35">
      <c r="B67" s="1" t="s">
        <v>33</v>
      </c>
      <c r="C67" s="1" t="s">
        <v>33</v>
      </c>
      <c r="D67" s="1" t="s">
        <v>33</v>
      </c>
      <c r="E67" s="1" t="s">
        <v>33</v>
      </c>
      <c r="F67" s="1" t="s">
        <v>33</v>
      </c>
      <c r="G67" s="1" t="s">
        <v>79</v>
      </c>
      <c r="H67" s="1" t="s">
        <v>79</v>
      </c>
      <c r="I67" s="1" t="s">
        <v>79</v>
      </c>
      <c r="J67" s="1" t="s">
        <v>79</v>
      </c>
      <c r="K67" s="1" t="s">
        <v>79</v>
      </c>
      <c r="L67" s="1" t="s">
        <v>79</v>
      </c>
      <c r="M67" s="1" t="s">
        <v>169</v>
      </c>
      <c r="S67" s="1" t="s">
        <v>169</v>
      </c>
      <c r="Z67" s="3"/>
      <c r="AA67" s="3"/>
      <c r="AB67" s="3"/>
      <c r="AC67" s="1" t="s">
        <v>169</v>
      </c>
    </row>
    <row r="68" spans="2:35">
      <c r="B68" s="1" t="s">
        <v>102</v>
      </c>
      <c r="C68" s="1" t="s">
        <v>102</v>
      </c>
      <c r="D68" s="1" t="s">
        <v>102</v>
      </c>
      <c r="E68" s="1" t="s">
        <v>102</v>
      </c>
      <c r="F68" s="1" t="s">
        <v>102</v>
      </c>
      <c r="G68" s="1" t="s">
        <v>35</v>
      </c>
      <c r="H68" s="1" t="s">
        <v>35</v>
      </c>
      <c r="I68" s="1" t="s">
        <v>35</v>
      </c>
      <c r="J68" s="1" t="s">
        <v>35</v>
      </c>
      <c r="K68" s="1" t="s">
        <v>35</v>
      </c>
      <c r="L68" s="1" t="s">
        <v>35</v>
      </c>
      <c r="M68" s="1" t="s">
        <v>37</v>
      </c>
      <c r="S68" s="1" t="s">
        <v>170</v>
      </c>
      <c r="Z68" s="3"/>
      <c r="AA68" s="3"/>
      <c r="AB68" s="3"/>
      <c r="AC68" s="1" t="s">
        <v>170</v>
      </c>
    </row>
    <row r="69" spans="2:35">
      <c r="B69" s="1" t="s">
        <v>51</v>
      </c>
      <c r="C69" s="1" t="s">
        <v>51</v>
      </c>
      <c r="D69" s="1" t="s">
        <v>51</v>
      </c>
      <c r="E69" s="1" t="s">
        <v>51</v>
      </c>
      <c r="F69" s="1" t="s">
        <v>51</v>
      </c>
      <c r="G69" s="1" t="s">
        <v>37</v>
      </c>
      <c r="H69" s="1" t="s">
        <v>37</v>
      </c>
      <c r="I69" s="1" t="s">
        <v>37</v>
      </c>
      <c r="J69" s="1" t="s">
        <v>37</v>
      </c>
      <c r="K69" s="1" t="s">
        <v>37</v>
      </c>
      <c r="L69" s="1" t="s">
        <v>37</v>
      </c>
      <c r="M69" s="1" t="s">
        <v>39</v>
      </c>
      <c r="S69" s="1" t="s">
        <v>39</v>
      </c>
      <c r="Z69" s="3"/>
      <c r="AA69" s="3"/>
      <c r="AB69" s="3"/>
      <c r="AC69" s="1" t="s">
        <v>39</v>
      </c>
    </row>
    <row r="70" spans="2:35">
      <c r="B70" s="1" t="s">
        <v>103</v>
      </c>
      <c r="C70" s="1" t="s">
        <v>103</v>
      </c>
      <c r="D70" s="1" t="s">
        <v>103</v>
      </c>
      <c r="E70" s="1" t="s">
        <v>103</v>
      </c>
      <c r="F70" s="1" t="s">
        <v>103</v>
      </c>
      <c r="G70" s="1" t="s">
        <v>39</v>
      </c>
      <c r="H70" s="1" t="s">
        <v>39</v>
      </c>
      <c r="I70" s="1" t="s">
        <v>39</v>
      </c>
      <c r="J70" s="1" t="s">
        <v>39</v>
      </c>
      <c r="K70" s="1" t="s">
        <v>39</v>
      </c>
      <c r="L70" s="1" t="s">
        <v>39</v>
      </c>
      <c r="M70" s="1" t="s">
        <v>171</v>
      </c>
      <c r="S70" s="1" t="s">
        <v>171</v>
      </c>
      <c r="Z70" s="3"/>
      <c r="AA70" s="3"/>
      <c r="AB70" s="3"/>
      <c r="AC70" s="1" t="s">
        <v>171</v>
      </c>
    </row>
    <row r="71" spans="2:35">
      <c r="B71" s="1" t="s">
        <v>104</v>
      </c>
      <c r="C71" s="1" t="s">
        <v>104</v>
      </c>
      <c r="D71" s="1" t="s">
        <v>104</v>
      </c>
      <c r="E71" s="1" t="s">
        <v>104</v>
      </c>
      <c r="F71" s="1" t="s">
        <v>104</v>
      </c>
      <c r="G71" s="1" t="s">
        <v>80</v>
      </c>
      <c r="H71" s="1" t="s">
        <v>80</v>
      </c>
      <c r="I71" s="1" t="s">
        <v>80</v>
      </c>
      <c r="J71" s="1" t="s">
        <v>80</v>
      </c>
      <c r="K71" s="1" t="s">
        <v>80</v>
      </c>
      <c r="L71" s="1" t="s">
        <v>80</v>
      </c>
      <c r="M71" s="1" t="s">
        <v>172</v>
      </c>
      <c r="S71" s="1" t="s">
        <v>214</v>
      </c>
      <c r="Z71" s="3"/>
      <c r="AA71" s="3"/>
      <c r="AB71" s="3"/>
      <c r="AC71" s="1" t="s">
        <v>214</v>
      </c>
    </row>
    <row r="72" spans="2:35" ht="13">
      <c r="B72" s="1" t="s">
        <v>10</v>
      </c>
      <c r="C72" s="1" t="s">
        <v>63</v>
      </c>
      <c r="D72" s="1" t="s">
        <v>13</v>
      </c>
      <c r="E72" s="1" t="s">
        <v>65</v>
      </c>
      <c r="F72" s="1" t="s">
        <v>14</v>
      </c>
      <c r="G72" s="1" t="s">
        <v>86</v>
      </c>
      <c r="H72" s="1" t="s">
        <v>81</v>
      </c>
      <c r="I72" s="1" t="s">
        <v>81</v>
      </c>
      <c r="J72" s="1" t="s">
        <v>81</v>
      </c>
      <c r="K72" s="1" t="s">
        <v>81</v>
      </c>
      <c r="L72" s="1" t="s">
        <v>81</v>
      </c>
      <c r="M72" s="1" t="s">
        <v>173</v>
      </c>
      <c r="S72" s="1" t="s">
        <v>215</v>
      </c>
      <c r="Z72" s="3"/>
      <c r="AA72" s="3"/>
      <c r="AB72" s="3"/>
      <c r="AC72" s="1" t="s">
        <v>215</v>
      </c>
      <c r="AE72" s="9"/>
      <c r="AF72" s="9"/>
      <c r="AG72" s="9"/>
      <c r="AH72" s="9"/>
      <c r="AI72" s="9"/>
    </row>
    <row r="73" spans="2:35" ht="13">
      <c r="G73" s="1" t="s">
        <v>87</v>
      </c>
      <c r="H73" s="1" t="s">
        <v>39</v>
      </c>
      <c r="I73" s="1" t="s">
        <v>39</v>
      </c>
      <c r="J73" s="1" t="s">
        <v>39</v>
      </c>
      <c r="K73" s="1" t="s">
        <v>39</v>
      </c>
      <c r="L73" s="1" t="s">
        <v>39</v>
      </c>
      <c r="M73" s="1" t="s">
        <v>174</v>
      </c>
      <c r="S73" s="1" t="s">
        <v>216</v>
      </c>
      <c r="Z73" s="3"/>
      <c r="AA73" s="3"/>
      <c r="AB73" s="3"/>
      <c r="AC73" s="1" t="s">
        <v>216</v>
      </c>
      <c r="AE73" s="9"/>
      <c r="AF73" s="9"/>
      <c r="AG73" s="9"/>
      <c r="AH73" s="9"/>
      <c r="AI73" s="9"/>
    </row>
    <row r="74" spans="2:35" ht="13">
      <c r="G74" s="1" t="s">
        <v>79</v>
      </c>
      <c r="H74" s="1" t="s">
        <v>43</v>
      </c>
      <c r="I74" s="1" t="s">
        <v>43</v>
      </c>
      <c r="J74" s="1" t="s">
        <v>43</v>
      </c>
      <c r="K74" s="1" t="s">
        <v>43</v>
      </c>
      <c r="L74" s="1" t="s">
        <v>43</v>
      </c>
      <c r="M74" s="1" t="s">
        <v>175</v>
      </c>
      <c r="S74" s="1" t="s">
        <v>217</v>
      </c>
      <c r="Z74" s="3"/>
      <c r="AA74" s="3"/>
      <c r="AB74" s="3"/>
      <c r="AC74" s="1" t="s">
        <v>237</v>
      </c>
      <c r="AE74" s="9"/>
      <c r="AF74" s="9"/>
      <c r="AG74" s="9"/>
      <c r="AH74" s="9"/>
      <c r="AI74" s="9"/>
    </row>
    <row r="75" spans="2:35" ht="13">
      <c r="G75" s="1" t="s">
        <v>88</v>
      </c>
      <c r="H75" s="1" t="s">
        <v>97</v>
      </c>
      <c r="I75" s="1" t="s">
        <v>82</v>
      </c>
      <c r="J75" s="1" t="s">
        <v>162</v>
      </c>
      <c r="K75" s="1" t="s">
        <v>163</v>
      </c>
      <c r="L75" s="1" t="s">
        <v>163</v>
      </c>
      <c r="M75" s="1" t="s">
        <v>176</v>
      </c>
      <c r="S75" s="1" t="s">
        <v>176</v>
      </c>
      <c r="Z75" s="3"/>
      <c r="AA75" s="3"/>
      <c r="AB75" s="3"/>
      <c r="AC75" s="1" t="s">
        <v>176</v>
      </c>
      <c r="AE75" s="9"/>
      <c r="AF75" s="9"/>
      <c r="AG75" s="9"/>
      <c r="AH75" s="9"/>
      <c r="AI75" s="9"/>
    </row>
    <row r="76" spans="2:35">
      <c r="G76" s="1" t="s">
        <v>89</v>
      </c>
      <c r="H76" s="1" t="s">
        <v>98</v>
      </c>
      <c r="I76" s="1" t="s">
        <v>90</v>
      </c>
      <c r="J76" s="1" t="s">
        <v>90</v>
      </c>
      <c r="K76" s="1" t="s">
        <v>164</v>
      </c>
      <c r="L76" s="1" t="s">
        <v>164</v>
      </c>
      <c r="Z76" s="3"/>
      <c r="AA76" s="3"/>
      <c r="AB76" s="3"/>
      <c r="AC76" s="3"/>
    </row>
    <row r="77" spans="2:35">
      <c r="G77" s="1" t="s">
        <v>91</v>
      </c>
      <c r="H77" s="1" t="s">
        <v>99</v>
      </c>
      <c r="I77" s="1" t="s">
        <v>92</v>
      </c>
      <c r="J77" s="1" t="s">
        <v>67</v>
      </c>
      <c r="K77" s="1" t="s">
        <v>165</v>
      </c>
      <c r="L77" s="1" t="s">
        <v>165</v>
      </c>
      <c r="Z77" s="3"/>
      <c r="AA77" s="3"/>
      <c r="AB77" s="3"/>
      <c r="AC77" s="3"/>
    </row>
    <row r="78" spans="2:35">
      <c r="G78" s="1" t="s">
        <v>93</v>
      </c>
      <c r="H78" s="1" t="s">
        <v>67</v>
      </c>
      <c r="I78" s="1" t="s">
        <v>67</v>
      </c>
      <c r="J78" s="1" t="s">
        <v>85</v>
      </c>
      <c r="Z78" s="3"/>
      <c r="AA78" s="3"/>
      <c r="AB78" s="3"/>
      <c r="AC78" s="3"/>
    </row>
    <row r="79" spans="2:35">
      <c r="G79" s="1" t="s">
        <v>94</v>
      </c>
      <c r="H79" s="1" t="s">
        <v>100</v>
      </c>
      <c r="I79" s="1" t="s">
        <v>85</v>
      </c>
      <c r="Z79" s="3"/>
      <c r="AA79" s="3"/>
      <c r="AB79" s="3"/>
      <c r="AC79" s="3"/>
    </row>
    <row r="80" spans="2:35">
      <c r="G80" s="1" t="s">
        <v>67</v>
      </c>
      <c r="Z80" s="3"/>
      <c r="AA80" s="3"/>
      <c r="AB80" s="3"/>
      <c r="AC80" s="3"/>
    </row>
    <row r="81" spans="7:29">
      <c r="G81" s="1" t="s">
        <v>95</v>
      </c>
      <c r="Z81" s="3"/>
      <c r="AA81" s="3"/>
      <c r="AB81" s="3"/>
      <c r="AC81" s="3"/>
    </row>
    <row r="82" spans="7:29">
      <c r="Z82" s="3"/>
      <c r="AA82" s="3"/>
      <c r="AB82" s="3"/>
      <c r="AC82" s="3"/>
    </row>
    <row r="83" spans="7:29">
      <c r="Z83" s="3"/>
      <c r="AA83" s="3"/>
      <c r="AB83" s="3"/>
      <c r="AC83" s="3"/>
    </row>
    <row r="84" spans="7:29">
      <c r="Z84" s="3"/>
      <c r="AA84" s="3"/>
      <c r="AB84" s="3"/>
      <c r="AC84" s="3"/>
    </row>
  </sheetData>
  <phoneticPr fontId="8" type="noConversion"/>
  <hyperlinks>
    <hyperlink ref="K77" r:id="rId1" xr:uid="{00000000-0004-0000-0200-000000000000}"/>
    <hyperlink ref="L77" r:id="rId2" xr:uid="{00000000-0004-0000-0200-000001000000}"/>
    <hyperlink ref="S75" r:id="rId3" display="www.nces.ed.gov" xr:uid="{00000000-0004-0000-0200-000002000000}"/>
    <hyperlink ref="AC75" r:id="rId4" display="www.nces.ed.gov" xr:uid="{2C909532-1913-4694-ADB2-5FA699B752C0}"/>
  </hyperlinks>
  <pageMargins left="0.75" right="0.75" top="1" bottom="1" header="0.5" footer="0.5"/>
  <pageSetup orientation="portrait" verticalDpi="1200" r:id="rId5"/>
  <headerFooter alignWithMargins="0"/>
  <legacyDrawing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tabColor indexed="62"/>
  </sheetPr>
  <dimension ref="A1:CW84"/>
  <sheetViews>
    <sheetView showZeros="0" zoomScale="80" zoomScaleNormal="80" workbookViewId="0">
      <pane xSplit="1" ySplit="4" topLeftCell="CN56" activePane="bottomRight" state="frozen"/>
      <selection pane="topRight" activeCell="B1" sqref="B1"/>
      <selection pane="bottomLeft" activeCell="A5" sqref="A5"/>
      <selection pane="bottomRight" activeCell="CV3" sqref="CV3"/>
    </sheetView>
  </sheetViews>
  <sheetFormatPr defaultColWidth="9.81640625" defaultRowHeight="12.5"/>
  <cols>
    <col min="1" max="1" width="20.81640625" style="1" customWidth="1"/>
    <col min="2" max="19" width="8.81640625" style="1" customWidth="1"/>
    <col min="20" max="47" width="9.81640625" style="1"/>
    <col min="48" max="51" width="8.81640625" style="1" customWidth="1"/>
    <col min="52" max="97" width="9.81640625" style="1"/>
    <col min="98" max="101" width="8.81640625" style="1" customWidth="1"/>
    <col min="102" max="16384" width="9.81640625" style="1"/>
  </cols>
  <sheetData>
    <row r="1" spans="1:101" ht="13">
      <c r="A1" s="7" t="s">
        <v>72</v>
      </c>
      <c r="B1" s="8"/>
      <c r="C1" s="8"/>
      <c r="D1" s="8"/>
      <c r="E1" s="8"/>
      <c r="F1" s="8"/>
      <c r="G1" s="8"/>
      <c r="H1" s="8"/>
      <c r="I1" s="8"/>
      <c r="J1" s="8"/>
      <c r="K1" s="8"/>
      <c r="L1" s="8"/>
      <c r="M1" s="8"/>
      <c r="N1" s="8"/>
      <c r="O1" s="8"/>
      <c r="P1" s="8"/>
      <c r="AZ1" s="57"/>
    </row>
    <row r="2" spans="1:101" s="121" customFormat="1" ht="13">
      <c r="B2" s="122" t="s">
        <v>0</v>
      </c>
      <c r="C2" s="122" t="s">
        <v>0</v>
      </c>
      <c r="D2" s="122" t="s">
        <v>0</v>
      </c>
      <c r="E2" s="122" t="s">
        <v>0</v>
      </c>
      <c r="F2" s="122" t="s">
        <v>0</v>
      </c>
      <c r="G2" s="122" t="s">
        <v>0</v>
      </c>
      <c r="H2" s="122" t="s">
        <v>0</v>
      </c>
      <c r="I2" s="122" t="s">
        <v>0</v>
      </c>
      <c r="J2" s="122" t="s">
        <v>0</v>
      </c>
      <c r="K2" s="122" t="s">
        <v>0</v>
      </c>
      <c r="L2" s="122" t="s">
        <v>0</v>
      </c>
      <c r="M2" s="122" t="s">
        <v>0</v>
      </c>
      <c r="N2" s="122" t="s">
        <v>0</v>
      </c>
      <c r="O2" s="122" t="s">
        <v>0</v>
      </c>
      <c r="P2" s="122" t="s">
        <v>0</v>
      </c>
      <c r="Q2" s="122" t="s">
        <v>0</v>
      </c>
      <c r="R2" s="122" t="s">
        <v>0</v>
      </c>
      <c r="S2" s="122" t="s">
        <v>0</v>
      </c>
      <c r="T2" s="122" t="s">
        <v>0</v>
      </c>
      <c r="U2" s="122" t="s">
        <v>0</v>
      </c>
      <c r="V2" s="122" t="s">
        <v>0</v>
      </c>
      <c r="W2" s="122" t="s">
        <v>0</v>
      </c>
      <c r="X2" s="122" t="s">
        <v>0</v>
      </c>
      <c r="Y2" s="122" t="s">
        <v>0</v>
      </c>
      <c r="Z2" s="122" t="s">
        <v>0</v>
      </c>
      <c r="AA2" s="122" t="s">
        <v>0</v>
      </c>
      <c r="AB2" s="122" t="s">
        <v>0</v>
      </c>
      <c r="AC2" s="122" t="s">
        <v>0</v>
      </c>
      <c r="AD2" s="122" t="s">
        <v>0</v>
      </c>
      <c r="AE2" s="122" t="s">
        <v>0</v>
      </c>
      <c r="AF2" s="122" t="s">
        <v>0</v>
      </c>
      <c r="AG2" s="122" t="s">
        <v>0</v>
      </c>
      <c r="AH2" s="122" t="s">
        <v>0</v>
      </c>
      <c r="AI2" s="122" t="s">
        <v>0</v>
      </c>
      <c r="AJ2" s="122" t="s">
        <v>0</v>
      </c>
      <c r="AK2" s="122" t="s">
        <v>0</v>
      </c>
      <c r="AL2" s="122" t="s">
        <v>0</v>
      </c>
      <c r="AM2" s="122" t="s">
        <v>0</v>
      </c>
      <c r="AN2" s="122" t="s">
        <v>0</v>
      </c>
      <c r="AO2" s="122" t="s">
        <v>0</v>
      </c>
      <c r="AP2" s="122" t="s">
        <v>0</v>
      </c>
      <c r="AQ2" s="122" t="s">
        <v>0</v>
      </c>
      <c r="AR2" s="122" t="s">
        <v>0</v>
      </c>
      <c r="AS2" s="122" t="s">
        <v>0</v>
      </c>
      <c r="AT2" s="122" t="s">
        <v>0</v>
      </c>
      <c r="AU2" s="122" t="s">
        <v>0</v>
      </c>
      <c r="AV2" s="122" t="s">
        <v>0</v>
      </c>
      <c r="AW2" s="122" t="s">
        <v>0</v>
      </c>
      <c r="AX2" s="122" t="s">
        <v>0</v>
      </c>
      <c r="AY2" s="122" t="s">
        <v>0</v>
      </c>
      <c r="AZ2" s="123" t="s">
        <v>1</v>
      </c>
      <c r="BA2" s="124" t="s">
        <v>1</v>
      </c>
      <c r="BB2" s="124" t="s">
        <v>1</v>
      </c>
      <c r="BC2" s="124" t="s">
        <v>1</v>
      </c>
      <c r="BD2" s="124" t="s">
        <v>1</v>
      </c>
      <c r="BE2" s="124" t="s">
        <v>1</v>
      </c>
      <c r="BF2" s="124" t="s">
        <v>1</v>
      </c>
      <c r="BG2" s="124" t="s">
        <v>1</v>
      </c>
      <c r="BH2" s="124" t="s">
        <v>1</v>
      </c>
      <c r="BI2" s="124" t="s">
        <v>1</v>
      </c>
      <c r="BJ2" s="124" t="s">
        <v>1</v>
      </c>
      <c r="BK2" s="124" t="s">
        <v>1</v>
      </c>
      <c r="BL2" s="124" t="s">
        <v>1</v>
      </c>
      <c r="BM2" s="124" t="s">
        <v>1</v>
      </c>
      <c r="BN2" s="124" t="s">
        <v>1</v>
      </c>
      <c r="BO2" s="124" t="s">
        <v>1</v>
      </c>
      <c r="BP2" s="124" t="s">
        <v>1</v>
      </c>
      <c r="BQ2" s="124" t="s">
        <v>1</v>
      </c>
      <c r="BR2" s="124" t="s">
        <v>1</v>
      </c>
      <c r="BS2" s="124" t="s">
        <v>1</v>
      </c>
      <c r="BT2" s="124" t="s">
        <v>1</v>
      </c>
      <c r="BU2" s="124" t="s">
        <v>1</v>
      </c>
      <c r="BV2" s="124" t="s">
        <v>1</v>
      </c>
      <c r="BW2" s="124" t="s">
        <v>1</v>
      </c>
      <c r="BX2" s="124" t="s">
        <v>1</v>
      </c>
      <c r="BY2" s="124" t="s">
        <v>1</v>
      </c>
      <c r="BZ2" s="124" t="s">
        <v>1</v>
      </c>
      <c r="CA2" s="124" t="s">
        <v>1</v>
      </c>
      <c r="CB2" s="124" t="s">
        <v>1</v>
      </c>
      <c r="CC2" s="124" t="s">
        <v>1</v>
      </c>
      <c r="CD2" s="124" t="s">
        <v>1</v>
      </c>
      <c r="CE2" s="124" t="s">
        <v>1</v>
      </c>
      <c r="CF2" s="124" t="s">
        <v>1</v>
      </c>
      <c r="CG2" s="124" t="s">
        <v>1</v>
      </c>
      <c r="CH2" s="124" t="s">
        <v>1</v>
      </c>
      <c r="CI2" s="124" t="s">
        <v>1</v>
      </c>
      <c r="CJ2" s="124" t="s">
        <v>1</v>
      </c>
      <c r="CK2" s="124" t="s">
        <v>1</v>
      </c>
      <c r="CL2" s="124" t="s">
        <v>1</v>
      </c>
      <c r="CM2" s="124" t="s">
        <v>1</v>
      </c>
      <c r="CN2" s="124" t="s">
        <v>1</v>
      </c>
      <c r="CO2" s="124" t="s">
        <v>1</v>
      </c>
      <c r="CP2" s="124" t="s">
        <v>1</v>
      </c>
      <c r="CQ2" s="124" t="s">
        <v>1</v>
      </c>
      <c r="CR2" s="124" t="s">
        <v>1</v>
      </c>
      <c r="CS2" s="124" t="s">
        <v>1</v>
      </c>
      <c r="CT2" s="124" t="s">
        <v>1</v>
      </c>
      <c r="CU2" s="124" t="s">
        <v>1</v>
      </c>
      <c r="CV2" s="124" t="s">
        <v>1</v>
      </c>
      <c r="CW2" s="124" t="s">
        <v>1</v>
      </c>
    </row>
    <row r="3" spans="1:101" s="32" customFormat="1" ht="13">
      <c r="B3" s="31" t="s">
        <v>53</v>
      </c>
      <c r="C3" s="31" t="s">
        <v>3</v>
      </c>
      <c r="D3" s="31" t="s">
        <v>54</v>
      </c>
      <c r="E3" s="31" t="s">
        <v>4</v>
      </c>
      <c r="F3" s="31" t="s">
        <v>55</v>
      </c>
      <c r="G3" s="31" t="s">
        <v>5</v>
      </c>
      <c r="H3" s="31" t="s">
        <v>56</v>
      </c>
      <c r="I3" s="31" t="s">
        <v>6</v>
      </c>
      <c r="J3" s="31" t="s">
        <v>57</v>
      </c>
      <c r="K3" s="31" t="s">
        <v>7</v>
      </c>
      <c r="L3" s="31" t="s">
        <v>58</v>
      </c>
      <c r="M3" s="31" t="s">
        <v>8</v>
      </c>
      <c r="N3" s="31" t="s">
        <v>9</v>
      </c>
      <c r="O3" s="31" t="s">
        <v>59</v>
      </c>
      <c r="P3" s="31" t="s">
        <v>60</v>
      </c>
      <c r="Q3" s="31" t="s">
        <v>61</v>
      </c>
      <c r="R3" s="31" t="s">
        <v>62</v>
      </c>
      <c r="S3" s="31" t="s">
        <v>10</v>
      </c>
      <c r="T3" s="31" t="s">
        <v>63</v>
      </c>
      <c r="U3" s="31" t="s">
        <v>11</v>
      </c>
      <c r="V3" s="31" t="s">
        <v>12</v>
      </c>
      <c r="W3" s="31" t="s">
        <v>64</v>
      </c>
      <c r="X3" s="31" t="s">
        <v>13</v>
      </c>
      <c r="Y3" s="31" t="s">
        <v>65</v>
      </c>
      <c r="Z3" s="31" t="s">
        <v>14</v>
      </c>
      <c r="AA3" s="31" t="s">
        <v>66</v>
      </c>
      <c r="AB3" s="31" t="s">
        <v>48</v>
      </c>
      <c r="AC3" s="31" t="s">
        <v>77</v>
      </c>
      <c r="AD3" s="31" t="s">
        <v>123</v>
      </c>
      <c r="AE3" s="31" t="s">
        <v>159</v>
      </c>
      <c r="AF3" s="31" t="s">
        <v>160</v>
      </c>
      <c r="AG3" s="31" t="s">
        <v>182</v>
      </c>
      <c r="AH3" s="31" t="s">
        <v>183</v>
      </c>
      <c r="AI3" s="31" t="s">
        <v>167</v>
      </c>
      <c r="AJ3" s="31" t="s">
        <v>178</v>
      </c>
      <c r="AK3" s="31" t="s">
        <v>179</v>
      </c>
      <c r="AL3" s="31" t="s">
        <v>181</v>
      </c>
      <c r="AM3" s="31" t="s">
        <v>192</v>
      </c>
      <c r="AN3" s="31" t="s">
        <v>205</v>
      </c>
      <c r="AO3" s="31" t="s">
        <v>207</v>
      </c>
      <c r="AP3" s="31" t="s">
        <v>222</v>
      </c>
      <c r="AQ3" s="31" t="s">
        <v>223</v>
      </c>
      <c r="AR3" s="31" t="s">
        <v>224</v>
      </c>
      <c r="AS3" s="31" t="s">
        <v>226</v>
      </c>
      <c r="AT3" s="119" t="s">
        <v>228</v>
      </c>
      <c r="AU3" s="118" t="s">
        <v>229</v>
      </c>
      <c r="AV3" s="118" t="s">
        <v>231</v>
      </c>
      <c r="AW3" s="118" t="s">
        <v>232</v>
      </c>
      <c r="AX3" s="95" t="s">
        <v>235</v>
      </c>
      <c r="AY3" s="95" t="s">
        <v>236</v>
      </c>
      <c r="AZ3" s="87" t="s">
        <v>53</v>
      </c>
      <c r="BA3" s="31" t="s">
        <v>3</v>
      </c>
      <c r="BB3" s="31" t="s">
        <v>54</v>
      </c>
      <c r="BC3" s="31" t="s">
        <v>4</v>
      </c>
      <c r="BD3" s="31" t="s">
        <v>55</v>
      </c>
      <c r="BE3" s="31" t="s">
        <v>5</v>
      </c>
      <c r="BF3" s="31" t="s">
        <v>56</v>
      </c>
      <c r="BG3" s="31" t="s">
        <v>6</v>
      </c>
      <c r="BH3" s="31" t="s">
        <v>57</v>
      </c>
      <c r="BI3" s="31" t="s">
        <v>7</v>
      </c>
      <c r="BJ3" s="31" t="s">
        <v>58</v>
      </c>
      <c r="BK3" s="31" t="s">
        <v>8</v>
      </c>
      <c r="BL3" s="31" t="s">
        <v>9</v>
      </c>
      <c r="BM3" s="31" t="s">
        <v>59</v>
      </c>
      <c r="BN3" s="31" t="s">
        <v>60</v>
      </c>
      <c r="BO3" s="31" t="s">
        <v>61</v>
      </c>
      <c r="BP3" s="31" t="s">
        <v>62</v>
      </c>
      <c r="BQ3" s="31" t="s">
        <v>10</v>
      </c>
      <c r="BR3" s="31" t="s">
        <v>63</v>
      </c>
      <c r="BS3" s="31" t="s">
        <v>11</v>
      </c>
      <c r="BT3" s="31" t="s">
        <v>12</v>
      </c>
      <c r="BU3" s="31" t="s">
        <v>64</v>
      </c>
      <c r="BV3" s="31" t="s">
        <v>13</v>
      </c>
      <c r="BW3" s="31" t="s">
        <v>65</v>
      </c>
      <c r="BX3" s="31" t="s">
        <v>14</v>
      </c>
      <c r="BY3" s="31" t="s">
        <v>66</v>
      </c>
      <c r="BZ3" s="31" t="s">
        <v>48</v>
      </c>
      <c r="CA3" s="31" t="s">
        <v>77</v>
      </c>
      <c r="CB3" s="31" t="s">
        <v>123</v>
      </c>
      <c r="CC3" s="31" t="s">
        <v>159</v>
      </c>
      <c r="CD3" s="31" t="s">
        <v>160</v>
      </c>
      <c r="CE3" s="31" t="s">
        <v>182</v>
      </c>
      <c r="CF3" s="31" t="s">
        <v>183</v>
      </c>
      <c r="CG3" s="31" t="s">
        <v>167</v>
      </c>
      <c r="CH3" s="31" t="s">
        <v>178</v>
      </c>
      <c r="CI3" s="31" t="s">
        <v>179</v>
      </c>
      <c r="CJ3" s="31" t="s">
        <v>181</v>
      </c>
      <c r="CK3" s="31" t="s">
        <v>192</v>
      </c>
      <c r="CL3" s="31" t="s">
        <v>205</v>
      </c>
      <c r="CM3" s="31" t="s">
        <v>207</v>
      </c>
      <c r="CN3" s="31" t="s">
        <v>222</v>
      </c>
      <c r="CO3" s="31" t="s">
        <v>223</v>
      </c>
      <c r="CP3" s="116" t="s">
        <v>224</v>
      </c>
      <c r="CQ3" s="116" t="s">
        <v>226</v>
      </c>
      <c r="CR3" s="125" t="s">
        <v>228</v>
      </c>
      <c r="CS3" s="116" t="s">
        <v>229</v>
      </c>
      <c r="CT3" s="118" t="s">
        <v>231</v>
      </c>
      <c r="CU3" s="118" t="s">
        <v>232</v>
      </c>
      <c r="CV3" s="95" t="s">
        <v>235</v>
      </c>
      <c r="CW3" s="95" t="s">
        <v>236</v>
      </c>
    </row>
    <row r="4" spans="1:101">
      <c r="A4" s="35" t="s">
        <v>208</v>
      </c>
      <c r="B4" s="36">
        <f t="shared" ref="B4:BV4" si="0">B5+B23+B38+B52+B63</f>
        <v>25878</v>
      </c>
      <c r="C4" s="36">
        <f t="shared" si="0"/>
        <v>27511</v>
      </c>
      <c r="D4" s="36">
        <f t="shared" si="0"/>
        <v>28079</v>
      </c>
      <c r="E4" s="36">
        <f t="shared" si="0"/>
        <v>28562</v>
      </c>
      <c r="F4" s="36">
        <f t="shared" si="0"/>
        <v>27347</v>
      </c>
      <c r="G4" s="36">
        <f t="shared" si="0"/>
        <v>26800</v>
      </c>
      <c r="H4" s="36">
        <f t="shared" si="0"/>
        <v>26238</v>
      </c>
      <c r="I4" s="36">
        <f t="shared" si="0"/>
        <v>25127</v>
      </c>
      <c r="J4" s="36">
        <f t="shared" si="0"/>
        <v>23649</v>
      </c>
      <c r="K4" s="36">
        <f t="shared" si="0"/>
        <v>23526</v>
      </c>
      <c r="L4" s="36">
        <f t="shared" si="0"/>
        <v>22928</v>
      </c>
      <c r="M4" s="36">
        <f t="shared" si="0"/>
        <v>22699</v>
      </c>
      <c r="N4" s="36">
        <f t="shared" si="0"/>
        <v>22207</v>
      </c>
      <c r="O4" s="36">
        <f t="shared" si="0"/>
        <v>21892</v>
      </c>
      <c r="P4" s="36">
        <f t="shared" si="0"/>
        <v>22047</v>
      </c>
      <c r="Q4" s="36">
        <f t="shared" si="0"/>
        <v>21684</v>
      </c>
      <c r="R4" s="36">
        <f t="shared" si="0"/>
        <v>21803</v>
      </c>
      <c r="S4" s="36">
        <f t="shared" si="0"/>
        <v>22043</v>
      </c>
      <c r="T4" s="36">
        <f t="shared" si="0"/>
        <v>22576</v>
      </c>
      <c r="U4" s="36">
        <f t="shared" si="0"/>
        <v>22694</v>
      </c>
      <c r="V4" s="36">
        <f t="shared" si="0"/>
        <v>24383</v>
      </c>
      <c r="W4" s="36">
        <f t="shared" si="0"/>
        <v>24729</v>
      </c>
      <c r="X4" s="36">
        <f t="shared" si="0"/>
        <v>25540</v>
      </c>
      <c r="Y4" s="36">
        <f t="shared" si="0"/>
        <v>26050</v>
      </c>
      <c r="Z4" s="36">
        <f t="shared" si="0"/>
        <v>26523</v>
      </c>
      <c r="AA4" s="36">
        <f t="shared" si="0"/>
        <v>26881</v>
      </c>
      <c r="AB4" s="36">
        <f t="shared" si="0"/>
        <v>26788</v>
      </c>
      <c r="AC4" s="36">
        <f t="shared" si="0"/>
        <v>27109</v>
      </c>
      <c r="AD4" s="36">
        <f t="shared" si="0"/>
        <v>26664</v>
      </c>
      <c r="AE4" s="36">
        <f t="shared" si="0"/>
        <v>25146</v>
      </c>
      <c r="AF4" s="36">
        <f t="shared" si="0"/>
        <v>25028</v>
      </c>
      <c r="AG4" s="36">
        <f t="shared" si="0"/>
        <v>24728</v>
      </c>
      <c r="AH4" s="36">
        <f t="shared" si="0"/>
        <v>23708</v>
      </c>
      <c r="AI4" s="36">
        <f t="shared" si="0"/>
        <v>24351</v>
      </c>
      <c r="AJ4" s="36">
        <f t="shared" si="0"/>
        <v>25305</v>
      </c>
      <c r="AK4" s="36">
        <f t="shared" si="0"/>
        <v>26973</v>
      </c>
      <c r="AL4" s="36">
        <f t="shared" si="0"/>
        <v>28530</v>
      </c>
      <c r="AM4" s="36">
        <f t="shared" si="0"/>
        <v>30251</v>
      </c>
      <c r="AN4" s="36">
        <f t="shared" si="0"/>
        <v>30471</v>
      </c>
      <c r="AO4" s="36">
        <f t="shared" si="0"/>
        <v>30390</v>
      </c>
      <c r="AP4" s="36">
        <f t="shared" ref="AP4:AQ4" si="1">AP5+AP23+AP38+AP52+AP63</f>
        <v>28910</v>
      </c>
      <c r="AQ4" s="36">
        <f t="shared" si="1"/>
        <v>29714</v>
      </c>
      <c r="AR4" s="36">
        <f t="shared" ref="AR4:AS4" si="2">AR5+AR23+AR38+AR52+AR63</f>
        <v>30596</v>
      </c>
      <c r="AS4" s="36">
        <f t="shared" si="2"/>
        <v>31857</v>
      </c>
      <c r="AT4" s="36">
        <f t="shared" ref="AT4:AY4" si="3">AT5+AT23+AT38+AT52+AT63</f>
        <v>32726</v>
      </c>
      <c r="AU4" s="36">
        <f t="shared" si="3"/>
        <v>33354</v>
      </c>
      <c r="AV4" s="36">
        <f t="shared" si="3"/>
        <v>33478</v>
      </c>
      <c r="AW4" s="36">
        <f t="shared" si="3"/>
        <v>33966</v>
      </c>
      <c r="AX4" s="36">
        <f t="shared" si="3"/>
        <v>34577</v>
      </c>
      <c r="AY4" s="36">
        <f t="shared" si="3"/>
        <v>35077</v>
      </c>
      <c r="AZ4" s="59">
        <f t="shared" si="0"/>
        <v>3976</v>
      </c>
      <c r="BA4" s="36">
        <f t="shared" si="0"/>
        <v>4577</v>
      </c>
      <c r="BB4" s="36">
        <f t="shared" si="0"/>
        <v>5273</v>
      </c>
      <c r="BC4" s="36">
        <f t="shared" si="0"/>
        <v>6206</v>
      </c>
      <c r="BD4" s="36">
        <f t="shared" si="0"/>
        <v>6451</v>
      </c>
      <c r="BE4" s="36">
        <f t="shared" si="0"/>
        <v>7266</v>
      </c>
      <c r="BF4" s="36">
        <f t="shared" si="0"/>
        <v>7797</v>
      </c>
      <c r="BG4" s="36">
        <f t="shared" si="0"/>
        <v>8090</v>
      </c>
      <c r="BH4" s="36">
        <f t="shared" si="0"/>
        <v>8473</v>
      </c>
      <c r="BI4" s="36">
        <f t="shared" si="0"/>
        <v>9189</v>
      </c>
      <c r="BJ4" s="36">
        <f t="shared" si="0"/>
        <v>9672</v>
      </c>
      <c r="BK4" s="36">
        <f t="shared" si="0"/>
        <v>10247</v>
      </c>
      <c r="BL4" s="36">
        <f t="shared" si="0"/>
        <v>10483</v>
      </c>
      <c r="BM4" s="36">
        <f t="shared" si="0"/>
        <v>10870</v>
      </c>
      <c r="BN4" s="36">
        <f t="shared" si="0"/>
        <v>11142</v>
      </c>
      <c r="BO4" s="36">
        <f t="shared" si="0"/>
        <v>11237</v>
      </c>
      <c r="BP4" s="36">
        <f t="shared" si="0"/>
        <v>11830</v>
      </c>
      <c r="BQ4" s="36">
        <f t="shared" si="0"/>
        <v>11974</v>
      </c>
      <c r="BR4" s="36">
        <f t="shared" si="0"/>
        <v>12237</v>
      </c>
      <c r="BS4" s="36">
        <f t="shared" si="0"/>
        <v>13048</v>
      </c>
      <c r="BT4" s="36">
        <f t="shared" si="0"/>
        <v>13964</v>
      </c>
      <c r="BU4" s="36">
        <f t="shared" si="0"/>
        <v>14538</v>
      </c>
      <c r="BV4" s="36">
        <f t="shared" si="0"/>
        <v>15102</v>
      </c>
      <c r="BW4" s="36">
        <f t="shared" ref="BW4:CM4" si="4">BW5+BW23+BW38+BW52+BW63</f>
        <v>16051</v>
      </c>
      <c r="BX4" s="36">
        <f t="shared" si="4"/>
        <v>16623</v>
      </c>
      <c r="BY4" s="36">
        <f t="shared" si="4"/>
        <v>17521</v>
      </c>
      <c r="BZ4" s="36">
        <f t="shared" si="4"/>
        <v>17806</v>
      </c>
      <c r="CA4" s="36">
        <f t="shared" si="4"/>
        <v>18727</v>
      </c>
      <c r="CB4" s="36">
        <f t="shared" si="4"/>
        <v>19346</v>
      </c>
      <c r="CC4" s="36">
        <f t="shared" si="4"/>
        <v>18931</v>
      </c>
      <c r="CD4" s="36">
        <f t="shared" si="4"/>
        <v>19780</v>
      </c>
      <c r="CE4" s="36">
        <f t="shared" si="4"/>
        <v>20176</v>
      </c>
      <c r="CF4" s="36">
        <f t="shared" si="4"/>
        <v>20452</v>
      </c>
      <c r="CG4" s="36">
        <f t="shared" si="4"/>
        <v>21691</v>
      </c>
      <c r="CH4" s="36">
        <f t="shared" si="4"/>
        <v>23048</v>
      </c>
      <c r="CI4" s="36">
        <f t="shared" si="4"/>
        <v>25658</v>
      </c>
      <c r="CJ4" s="36">
        <f t="shared" si="4"/>
        <v>27311</v>
      </c>
      <c r="CK4" s="36">
        <f t="shared" si="4"/>
        <v>30365</v>
      </c>
      <c r="CL4" s="36">
        <f t="shared" si="4"/>
        <v>30858</v>
      </c>
      <c r="CM4" s="36">
        <f t="shared" si="4"/>
        <v>31029</v>
      </c>
      <c r="CN4" s="36">
        <f t="shared" ref="CN4:CO4" si="5">CN5+CN23+CN38+CN52+CN63</f>
        <v>28214</v>
      </c>
      <c r="CO4" s="36">
        <f t="shared" si="5"/>
        <v>28463</v>
      </c>
      <c r="CP4" s="36">
        <f t="shared" ref="CP4:CQ4" si="6">CP5+CP23+CP38+CP52+CP63</f>
        <v>29520</v>
      </c>
      <c r="CQ4" s="36">
        <f t="shared" si="6"/>
        <v>30448</v>
      </c>
      <c r="CR4" s="36">
        <f t="shared" ref="CR4:CW4" si="7">CR5+CR23+CR38+CR52+CR63</f>
        <v>31640</v>
      </c>
      <c r="CS4" s="36">
        <f t="shared" si="7"/>
        <v>32420</v>
      </c>
      <c r="CT4" s="36">
        <f t="shared" si="7"/>
        <v>32386</v>
      </c>
      <c r="CU4" s="36">
        <f t="shared" si="7"/>
        <v>33191</v>
      </c>
      <c r="CV4" s="36">
        <f t="shared" si="7"/>
        <v>33952</v>
      </c>
      <c r="CW4" s="36">
        <f t="shared" si="7"/>
        <v>34617</v>
      </c>
    </row>
    <row r="5" spans="1:101">
      <c r="A5" s="37" t="s">
        <v>50</v>
      </c>
      <c r="B5" s="38">
        <f t="shared" ref="B5:BV5" si="8">SUM(B7:B22)</f>
        <v>5304</v>
      </c>
      <c r="C5" s="38">
        <f t="shared" si="8"/>
        <v>5682</v>
      </c>
      <c r="D5" s="38">
        <f t="shared" si="8"/>
        <v>6055</v>
      </c>
      <c r="E5" s="38">
        <f t="shared" si="8"/>
        <v>5900</v>
      </c>
      <c r="F5" s="38">
        <f t="shared" si="8"/>
        <v>5979</v>
      </c>
      <c r="G5" s="38">
        <f t="shared" si="8"/>
        <v>6148</v>
      </c>
      <c r="H5" s="38">
        <f t="shared" si="8"/>
        <v>6197</v>
      </c>
      <c r="I5" s="38">
        <f t="shared" si="8"/>
        <v>5992</v>
      </c>
      <c r="J5" s="38">
        <f t="shared" si="8"/>
        <v>5657</v>
      </c>
      <c r="K5" s="38">
        <f t="shared" si="8"/>
        <v>5793</v>
      </c>
      <c r="L5" s="38">
        <f t="shared" si="8"/>
        <v>5666</v>
      </c>
      <c r="M5" s="38">
        <f t="shared" si="8"/>
        <v>5396</v>
      </c>
      <c r="N5" s="38">
        <f t="shared" si="8"/>
        <v>5131</v>
      </c>
      <c r="O5" s="38">
        <f t="shared" si="8"/>
        <v>5211</v>
      </c>
      <c r="P5" s="38">
        <f t="shared" si="8"/>
        <v>5304</v>
      </c>
      <c r="Q5" s="38">
        <f t="shared" si="8"/>
        <v>5236</v>
      </c>
      <c r="R5" s="38">
        <f t="shared" si="8"/>
        <v>5444</v>
      </c>
      <c r="S5" s="38">
        <f t="shared" si="8"/>
        <v>5463</v>
      </c>
      <c r="T5" s="38">
        <f t="shared" si="8"/>
        <v>5707</v>
      </c>
      <c r="U5" s="38">
        <f t="shared" si="8"/>
        <v>5595</v>
      </c>
      <c r="V5" s="38">
        <f t="shared" si="8"/>
        <v>6194</v>
      </c>
      <c r="W5" s="38">
        <f t="shared" si="8"/>
        <v>6268</v>
      </c>
      <c r="X5" s="38">
        <f t="shared" si="8"/>
        <v>6772</v>
      </c>
      <c r="Y5" s="38">
        <f t="shared" si="8"/>
        <v>6920</v>
      </c>
      <c r="Z5" s="38">
        <f t="shared" si="8"/>
        <v>7035</v>
      </c>
      <c r="AA5" s="38">
        <f t="shared" si="8"/>
        <v>7253</v>
      </c>
      <c r="AB5" s="38">
        <f t="shared" si="8"/>
        <v>7399</v>
      </c>
      <c r="AC5" s="38">
        <f t="shared" si="8"/>
        <v>7392</v>
      </c>
      <c r="AD5" s="38">
        <f t="shared" si="8"/>
        <v>7432</v>
      </c>
      <c r="AE5" s="38">
        <f t="shared" si="8"/>
        <v>7246</v>
      </c>
      <c r="AF5" s="38">
        <f t="shared" si="8"/>
        <v>7206</v>
      </c>
      <c r="AG5" s="38">
        <f t="shared" si="8"/>
        <v>7094</v>
      </c>
      <c r="AH5" s="38">
        <f t="shared" si="8"/>
        <v>6947</v>
      </c>
      <c r="AI5" s="38">
        <f t="shared" si="8"/>
        <v>7012</v>
      </c>
      <c r="AJ5" s="38">
        <f t="shared" si="8"/>
        <v>7396</v>
      </c>
      <c r="AK5" s="38">
        <f t="shared" si="8"/>
        <v>8077</v>
      </c>
      <c r="AL5" s="38">
        <f t="shared" si="8"/>
        <v>8368</v>
      </c>
      <c r="AM5" s="38">
        <f t="shared" si="8"/>
        <v>9080</v>
      </c>
      <c r="AN5" s="38">
        <f t="shared" si="8"/>
        <v>9107</v>
      </c>
      <c r="AO5" s="38">
        <f t="shared" si="8"/>
        <v>9151</v>
      </c>
      <c r="AP5" s="38">
        <f t="shared" ref="AP5:AQ5" si="9">SUM(AP7:AP22)</f>
        <v>8931</v>
      </c>
      <c r="AQ5" s="38">
        <f t="shared" si="9"/>
        <v>9537</v>
      </c>
      <c r="AR5" s="38">
        <f t="shared" ref="AR5:AS5" si="10">SUM(AR7:AR22)</f>
        <v>9734</v>
      </c>
      <c r="AS5" s="38">
        <f t="shared" si="10"/>
        <v>10258</v>
      </c>
      <c r="AT5" s="38">
        <f t="shared" ref="AT5:AY5" si="11">SUM(AT7:AT22)</f>
        <v>10721</v>
      </c>
      <c r="AU5" s="38">
        <f t="shared" si="11"/>
        <v>10971</v>
      </c>
      <c r="AV5" s="38">
        <f t="shared" si="11"/>
        <v>11057</v>
      </c>
      <c r="AW5" s="38">
        <f t="shared" si="11"/>
        <v>11432</v>
      </c>
      <c r="AX5" s="38">
        <f t="shared" si="11"/>
        <v>11686</v>
      </c>
      <c r="AY5" s="38">
        <f t="shared" si="11"/>
        <v>11708</v>
      </c>
      <c r="AZ5" s="60">
        <f t="shared" si="8"/>
        <v>764</v>
      </c>
      <c r="BA5" s="38">
        <f t="shared" si="8"/>
        <v>921</v>
      </c>
      <c r="BB5" s="38">
        <f t="shared" si="8"/>
        <v>1068</v>
      </c>
      <c r="BC5" s="38">
        <f t="shared" si="8"/>
        <v>1304</v>
      </c>
      <c r="BD5" s="38">
        <f t="shared" si="8"/>
        <v>1373</v>
      </c>
      <c r="BE5" s="38">
        <f t="shared" si="8"/>
        <v>1652</v>
      </c>
      <c r="BF5" s="38">
        <f t="shared" si="8"/>
        <v>1778</v>
      </c>
      <c r="BG5" s="38">
        <f t="shared" si="8"/>
        <v>1938</v>
      </c>
      <c r="BH5" s="38">
        <f t="shared" si="8"/>
        <v>2087</v>
      </c>
      <c r="BI5" s="38">
        <f t="shared" si="8"/>
        <v>2291</v>
      </c>
      <c r="BJ5" s="38">
        <f t="shared" si="8"/>
        <v>2411</v>
      </c>
      <c r="BK5" s="38">
        <f t="shared" si="8"/>
        <v>2510</v>
      </c>
      <c r="BL5" s="38">
        <f t="shared" si="8"/>
        <v>2638</v>
      </c>
      <c r="BM5" s="38">
        <f t="shared" si="8"/>
        <v>2801</v>
      </c>
      <c r="BN5" s="38">
        <f t="shared" si="8"/>
        <v>2850</v>
      </c>
      <c r="BO5" s="38">
        <f t="shared" si="8"/>
        <v>2920</v>
      </c>
      <c r="BP5" s="38">
        <f t="shared" si="8"/>
        <v>3037</v>
      </c>
      <c r="BQ5" s="38">
        <f t="shared" si="8"/>
        <v>3179</v>
      </c>
      <c r="BR5" s="38">
        <f t="shared" si="8"/>
        <v>3263</v>
      </c>
      <c r="BS5" s="38">
        <f t="shared" si="8"/>
        <v>3540</v>
      </c>
      <c r="BT5" s="38">
        <f t="shared" si="8"/>
        <v>3766</v>
      </c>
      <c r="BU5" s="38">
        <f t="shared" si="8"/>
        <v>3927</v>
      </c>
      <c r="BV5" s="38">
        <f t="shared" si="8"/>
        <v>4151</v>
      </c>
      <c r="BW5" s="38">
        <f t="shared" ref="BW5:CM5" si="12">SUM(BW7:BW22)</f>
        <v>4486</v>
      </c>
      <c r="BX5" s="38">
        <f t="shared" si="12"/>
        <v>4670</v>
      </c>
      <c r="BY5" s="38">
        <f t="shared" si="12"/>
        <v>4723</v>
      </c>
      <c r="BZ5" s="38">
        <f t="shared" si="12"/>
        <v>4995</v>
      </c>
      <c r="CA5" s="38">
        <f t="shared" si="12"/>
        <v>5335</v>
      </c>
      <c r="CB5" s="38">
        <f t="shared" si="12"/>
        <v>5399</v>
      </c>
      <c r="CC5" s="38">
        <f t="shared" si="12"/>
        <v>5506</v>
      </c>
      <c r="CD5" s="38">
        <f t="shared" si="12"/>
        <v>5903</v>
      </c>
      <c r="CE5" s="38">
        <f t="shared" si="12"/>
        <v>5980</v>
      </c>
      <c r="CF5" s="38">
        <f t="shared" si="12"/>
        <v>6229</v>
      </c>
      <c r="CG5" s="38">
        <f t="shared" si="12"/>
        <v>6523</v>
      </c>
      <c r="CH5" s="38">
        <f t="shared" si="12"/>
        <v>7100</v>
      </c>
      <c r="CI5" s="38">
        <f t="shared" si="12"/>
        <v>7756</v>
      </c>
      <c r="CJ5" s="38">
        <f t="shared" si="12"/>
        <v>8056</v>
      </c>
      <c r="CK5" s="38">
        <f t="shared" si="12"/>
        <v>9065</v>
      </c>
      <c r="CL5" s="38">
        <f t="shared" si="12"/>
        <v>9510</v>
      </c>
      <c r="CM5" s="38">
        <f t="shared" si="12"/>
        <v>9705</v>
      </c>
      <c r="CN5" s="38">
        <f t="shared" ref="CN5:CO5" si="13">SUM(CN7:CN22)</f>
        <v>9024</v>
      </c>
      <c r="CO5" s="38">
        <f t="shared" si="13"/>
        <v>9283</v>
      </c>
      <c r="CP5" s="38">
        <f t="shared" ref="CP5:CQ5" si="14">SUM(CP7:CP22)</f>
        <v>9843</v>
      </c>
      <c r="CQ5" s="38">
        <f t="shared" si="14"/>
        <v>10161</v>
      </c>
      <c r="CR5" s="38">
        <f t="shared" ref="CR5:CW5" si="15">SUM(CR7:CR22)</f>
        <v>10781</v>
      </c>
      <c r="CS5" s="38">
        <f t="shared" si="15"/>
        <v>11207</v>
      </c>
      <c r="CT5" s="38">
        <f t="shared" si="15"/>
        <v>11235</v>
      </c>
      <c r="CU5" s="38">
        <f t="shared" si="15"/>
        <v>12020</v>
      </c>
      <c r="CV5" s="38">
        <f t="shared" si="15"/>
        <v>12022</v>
      </c>
      <c r="CW5" s="38">
        <f t="shared" si="15"/>
        <v>12280</v>
      </c>
    </row>
    <row r="6" spans="1:101" s="11" customFormat="1">
      <c r="A6" s="39" t="s">
        <v>213</v>
      </c>
      <c r="B6" s="40">
        <f t="shared" ref="B6:BV6" si="16">(B5/B4)*100</f>
        <v>20.496174356596335</v>
      </c>
      <c r="C6" s="40">
        <f t="shared" si="16"/>
        <v>20.653556759114537</v>
      </c>
      <c r="D6" s="40">
        <f t="shared" si="16"/>
        <v>21.564158267744578</v>
      </c>
      <c r="E6" s="40">
        <f t="shared" si="16"/>
        <v>20.656816749527344</v>
      </c>
      <c r="F6" s="40">
        <f t="shared" si="16"/>
        <v>21.863458514645117</v>
      </c>
      <c r="G6" s="40">
        <f t="shared" si="16"/>
        <v>22.940298507462686</v>
      </c>
      <c r="H6" s="40">
        <f t="shared" si="16"/>
        <v>23.618416037807759</v>
      </c>
      <c r="I6" s="40">
        <f t="shared" si="16"/>
        <v>23.846857961555298</v>
      </c>
      <c r="J6" s="40">
        <f t="shared" si="16"/>
        <v>23.920673178569917</v>
      </c>
      <c r="K6" s="40">
        <f t="shared" si="16"/>
        <v>24.623820453965823</v>
      </c>
      <c r="L6" s="40">
        <f t="shared" si="16"/>
        <v>24.712142358688066</v>
      </c>
      <c r="M6" s="40">
        <f t="shared" si="16"/>
        <v>23.771972333582976</v>
      </c>
      <c r="N6" s="40">
        <f t="shared" si="16"/>
        <v>23.105327149097132</v>
      </c>
      <c r="O6" s="40">
        <f t="shared" si="16"/>
        <v>23.803215786588709</v>
      </c>
      <c r="P6" s="40">
        <f t="shared" si="16"/>
        <v>24.057694924479524</v>
      </c>
      <c r="Q6" s="40">
        <f t="shared" si="16"/>
        <v>24.146836377052207</v>
      </c>
      <c r="R6" s="40">
        <f t="shared" si="16"/>
        <v>24.969040957666376</v>
      </c>
      <c r="S6" s="40">
        <f t="shared" si="16"/>
        <v>24.783377943111194</v>
      </c>
      <c r="T6" s="40">
        <f t="shared" si="16"/>
        <v>25.279057406094967</v>
      </c>
      <c r="U6" s="40">
        <f t="shared" si="16"/>
        <v>24.654093593020182</v>
      </c>
      <c r="V6" s="40">
        <f t="shared" si="16"/>
        <v>25.402944674568346</v>
      </c>
      <c r="W6" s="40">
        <f t="shared" si="16"/>
        <v>25.346758866108615</v>
      </c>
      <c r="X6" s="40">
        <f t="shared" si="16"/>
        <v>26.515270164447923</v>
      </c>
      <c r="Y6" s="40">
        <f t="shared" si="16"/>
        <v>26.564299424184263</v>
      </c>
      <c r="Z6" s="40">
        <f t="shared" si="16"/>
        <v>26.524148851939827</v>
      </c>
      <c r="AA6" s="40">
        <f t="shared" si="16"/>
        <v>26.981883114467468</v>
      </c>
      <c r="AB6" s="40">
        <f t="shared" si="16"/>
        <v>27.620576377482454</v>
      </c>
      <c r="AC6" s="40">
        <f t="shared" si="16"/>
        <v>27.267697074772219</v>
      </c>
      <c r="AD6" s="40">
        <f t="shared" si="16"/>
        <v>27.872787278727873</v>
      </c>
      <c r="AE6" s="40">
        <f t="shared" si="16"/>
        <v>28.815716217291019</v>
      </c>
      <c r="AF6" s="40">
        <f t="shared" si="16"/>
        <v>28.791753236375261</v>
      </c>
      <c r="AG6" s="40">
        <f t="shared" si="16"/>
        <v>28.688126819799422</v>
      </c>
      <c r="AH6" s="40">
        <f t="shared" si="16"/>
        <v>29.30234519993251</v>
      </c>
      <c r="AI6" s="40">
        <f t="shared" si="16"/>
        <v>28.795532011005708</v>
      </c>
      <c r="AJ6" s="40">
        <f t="shared" si="16"/>
        <v>29.227425409998027</v>
      </c>
      <c r="AK6" s="40">
        <f t="shared" si="16"/>
        <v>29.944759574389202</v>
      </c>
      <c r="AL6" s="40">
        <f t="shared" si="16"/>
        <v>29.330529267437782</v>
      </c>
      <c r="AM6" s="40">
        <f t="shared" si="16"/>
        <v>30.015536676473502</v>
      </c>
      <c r="AN6" s="40">
        <f t="shared" si="16"/>
        <v>29.88743395359522</v>
      </c>
      <c r="AO6" s="40">
        <f t="shared" si="16"/>
        <v>30.11187890753537</v>
      </c>
      <c r="AP6" s="40">
        <f t="shared" ref="AP6:AQ6" si="17">(AP5/AP4)*100</f>
        <v>30.892424766516775</v>
      </c>
      <c r="AQ6" s="40">
        <f t="shared" si="17"/>
        <v>32.095981692131652</v>
      </c>
      <c r="AR6" s="40">
        <f t="shared" ref="AR6:AS6" si="18">(AR5/AR4)*100</f>
        <v>31.814616289711072</v>
      </c>
      <c r="AS6" s="40">
        <f t="shared" si="18"/>
        <v>32.200144395266342</v>
      </c>
      <c r="AT6" s="40">
        <f t="shared" ref="AT6:AY6" si="19">(AT5/AT4)*100</f>
        <v>32.75988510664304</v>
      </c>
      <c r="AU6" s="40">
        <f t="shared" si="19"/>
        <v>32.892606583917974</v>
      </c>
      <c r="AV6" s="40">
        <f t="shared" si="19"/>
        <v>33.027659955791869</v>
      </c>
      <c r="AW6" s="40">
        <f t="shared" si="19"/>
        <v>33.657186598363069</v>
      </c>
      <c r="AX6" s="126">
        <f t="shared" si="19"/>
        <v>33.79703270960465</v>
      </c>
      <c r="AY6" s="126">
        <f t="shared" si="19"/>
        <v>33.377996978076801</v>
      </c>
      <c r="AZ6" s="61">
        <f t="shared" si="16"/>
        <v>19.21529175050302</v>
      </c>
      <c r="BA6" s="126">
        <f t="shared" si="16"/>
        <v>20.122350884859078</v>
      </c>
      <c r="BB6" s="126">
        <f t="shared" si="16"/>
        <v>20.254124786648966</v>
      </c>
      <c r="BC6" s="126">
        <f t="shared" si="16"/>
        <v>21.011923944569773</v>
      </c>
      <c r="BD6" s="126">
        <f t="shared" si="16"/>
        <v>21.283521934583785</v>
      </c>
      <c r="BE6" s="126">
        <f t="shared" si="16"/>
        <v>22.736030828516377</v>
      </c>
      <c r="BF6" s="126">
        <f t="shared" si="16"/>
        <v>22.803642426574324</v>
      </c>
      <c r="BG6" s="126">
        <f t="shared" si="16"/>
        <v>23.955500618046973</v>
      </c>
      <c r="BH6" s="126">
        <f t="shared" si="16"/>
        <v>24.631181399740353</v>
      </c>
      <c r="BI6" s="126">
        <f t="shared" si="16"/>
        <v>24.931983893786047</v>
      </c>
      <c r="BJ6" s="126">
        <f t="shared" si="16"/>
        <v>24.927626137303559</v>
      </c>
      <c r="BK6" s="126">
        <f t="shared" si="16"/>
        <v>24.494974138772324</v>
      </c>
      <c r="BL6" s="126">
        <f t="shared" si="16"/>
        <v>25.164552132023278</v>
      </c>
      <c r="BM6" s="126">
        <f t="shared" si="16"/>
        <v>25.76816927322907</v>
      </c>
      <c r="BN6" s="126">
        <f t="shared" si="16"/>
        <v>25.578890683898763</v>
      </c>
      <c r="BO6" s="126">
        <f t="shared" si="16"/>
        <v>25.985583340749312</v>
      </c>
      <c r="BP6" s="126">
        <f t="shared" si="16"/>
        <v>25.672020287404901</v>
      </c>
      <c r="BQ6" s="126">
        <f t="shared" si="16"/>
        <v>26.549189911474862</v>
      </c>
      <c r="BR6" s="126">
        <f t="shared" si="16"/>
        <v>26.66503227915339</v>
      </c>
      <c r="BS6" s="126">
        <f t="shared" si="16"/>
        <v>27.130594727161249</v>
      </c>
      <c r="BT6" s="126">
        <f t="shared" si="16"/>
        <v>26.96934975651676</v>
      </c>
      <c r="BU6" s="126">
        <f t="shared" si="16"/>
        <v>27.011968633924887</v>
      </c>
      <c r="BV6" s="126">
        <f t="shared" si="16"/>
        <v>27.486425638988216</v>
      </c>
      <c r="BW6" s="126">
        <f t="shared" ref="BW6:CM6" si="20">(BW5/BW4)*100</f>
        <v>27.948414429007538</v>
      </c>
      <c r="BX6" s="126">
        <f t="shared" si="20"/>
        <v>28.093605245743845</v>
      </c>
      <c r="BY6" s="126">
        <f t="shared" si="20"/>
        <v>26.956223959819646</v>
      </c>
      <c r="BZ6" s="126">
        <f t="shared" si="20"/>
        <v>28.052341907222285</v>
      </c>
      <c r="CA6" s="126">
        <f t="shared" si="20"/>
        <v>28.488278955518769</v>
      </c>
      <c r="CB6" s="126">
        <f t="shared" si="20"/>
        <v>27.907577793859197</v>
      </c>
      <c r="CC6" s="126">
        <f t="shared" si="20"/>
        <v>29.084570281548782</v>
      </c>
      <c r="CD6" s="126">
        <f t="shared" si="20"/>
        <v>29.843276036400407</v>
      </c>
      <c r="CE6" s="126">
        <f t="shared" si="20"/>
        <v>29.63917525773196</v>
      </c>
      <c r="CF6" s="126">
        <f t="shared" si="20"/>
        <v>30.456679053393309</v>
      </c>
      <c r="CG6" s="126">
        <f t="shared" si="20"/>
        <v>30.07238024987322</v>
      </c>
      <c r="CH6" s="126">
        <f t="shared" si="20"/>
        <v>30.805275945852134</v>
      </c>
      <c r="CI6" s="126">
        <f t="shared" si="20"/>
        <v>30.228388806610024</v>
      </c>
      <c r="CJ6" s="126">
        <f t="shared" si="20"/>
        <v>29.497272161400168</v>
      </c>
      <c r="CK6" s="126">
        <f t="shared" si="20"/>
        <v>29.853449695372962</v>
      </c>
      <c r="CL6" s="126">
        <f t="shared" si="20"/>
        <v>30.818588372545207</v>
      </c>
      <c r="CM6" s="126">
        <f t="shared" si="20"/>
        <v>31.277192303973699</v>
      </c>
      <c r="CN6" s="126">
        <f t="shared" ref="CN6:CO6" si="21">(CN5/CN4)*100</f>
        <v>31.984121358190968</v>
      </c>
      <c r="CO6" s="126">
        <f t="shared" si="21"/>
        <v>32.614271159048592</v>
      </c>
      <c r="CP6" s="126">
        <f t="shared" ref="CP6:CQ6" si="22">(CP5/CP4)*100</f>
        <v>33.34349593495935</v>
      </c>
      <c r="CQ6" s="126">
        <f t="shared" si="22"/>
        <v>33.371650026274303</v>
      </c>
      <c r="CR6" s="126">
        <f t="shared" ref="CR6:CW6" si="23">(CR5/CR4)*100</f>
        <v>34.073957016434889</v>
      </c>
      <c r="CS6" s="126">
        <f t="shared" si="23"/>
        <v>34.568167797655768</v>
      </c>
      <c r="CT6" s="126">
        <f t="shared" si="23"/>
        <v>34.690915827826842</v>
      </c>
      <c r="CU6" s="126">
        <f t="shared" si="23"/>
        <v>36.214636497845802</v>
      </c>
      <c r="CV6" s="126">
        <f t="shared" si="23"/>
        <v>35.408812441093303</v>
      </c>
      <c r="CW6" s="126">
        <f t="shared" si="23"/>
        <v>35.473900106883896</v>
      </c>
    </row>
    <row r="7" spans="1:101" s="5" customFormat="1" ht="13">
      <c r="A7" s="26" t="s">
        <v>15</v>
      </c>
      <c r="B7" s="5">
        <v>181</v>
      </c>
      <c r="C7" s="5">
        <v>227</v>
      </c>
      <c r="D7" s="5">
        <v>221</v>
      </c>
      <c r="E7" s="5">
        <v>208</v>
      </c>
      <c r="F7" s="5">
        <v>206</v>
      </c>
      <c r="G7" s="5">
        <v>140</v>
      </c>
      <c r="H7" s="5">
        <v>169</v>
      </c>
      <c r="I7" s="5">
        <v>188</v>
      </c>
      <c r="J7" s="5">
        <v>178</v>
      </c>
      <c r="K7" s="5">
        <v>173</v>
      </c>
      <c r="L7" s="5">
        <v>166</v>
      </c>
      <c r="M7" s="5">
        <v>167</v>
      </c>
      <c r="N7" s="5">
        <v>170</v>
      </c>
      <c r="O7" s="5">
        <v>159</v>
      </c>
      <c r="P7" s="47">
        <v>145</v>
      </c>
      <c r="Q7" s="47">
        <v>146</v>
      </c>
      <c r="R7" s="47">
        <v>164</v>
      </c>
      <c r="S7" s="47">
        <v>164</v>
      </c>
      <c r="T7" s="5">
        <v>163</v>
      </c>
      <c r="U7" s="5">
        <v>189</v>
      </c>
      <c r="V7" s="5">
        <v>208</v>
      </c>
      <c r="W7" s="5">
        <v>228</v>
      </c>
      <c r="X7" s="5">
        <v>239</v>
      </c>
      <c r="Y7" s="5">
        <v>246</v>
      </c>
      <c r="Z7" s="5">
        <v>259</v>
      </c>
      <c r="AA7" s="5">
        <v>238</v>
      </c>
      <c r="AB7" s="5">
        <v>321</v>
      </c>
      <c r="AC7" s="5">
        <v>318</v>
      </c>
      <c r="AD7" s="5">
        <v>336</v>
      </c>
      <c r="AE7" s="5">
        <v>312</v>
      </c>
      <c r="AF7" s="5">
        <v>306</v>
      </c>
      <c r="AG7" s="5">
        <v>292</v>
      </c>
      <c r="AH7" s="5">
        <v>286</v>
      </c>
      <c r="AI7" s="5">
        <v>327</v>
      </c>
      <c r="AJ7" s="5">
        <v>277</v>
      </c>
      <c r="AK7" s="5">
        <v>317</v>
      </c>
      <c r="AL7" s="5">
        <v>349</v>
      </c>
      <c r="AM7" s="5">
        <v>349</v>
      </c>
      <c r="AN7" s="5">
        <v>362</v>
      </c>
      <c r="AO7" s="5">
        <v>370</v>
      </c>
      <c r="AP7" s="5">
        <v>308</v>
      </c>
      <c r="AQ7" s="5">
        <v>323</v>
      </c>
      <c r="AR7" s="5">
        <v>350</v>
      </c>
      <c r="AS7" s="5">
        <v>363</v>
      </c>
      <c r="AT7" s="5">
        <v>367</v>
      </c>
      <c r="AU7" s="5">
        <v>415</v>
      </c>
      <c r="AV7" s="1">
        <v>412</v>
      </c>
      <c r="AW7" s="1">
        <v>395</v>
      </c>
      <c r="AX7" s="112">
        <v>383</v>
      </c>
      <c r="AY7" s="112">
        <v>390</v>
      </c>
      <c r="AZ7" s="88">
        <v>40</v>
      </c>
      <c r="BA7" s="127">
        <v>38</v>
      </c>
      <c r="BB7" s="127">
        <v>55</v>
      </c>
      <c r="BC7" s="127">
        <v>60</v>
      </c>
      <c r="BD7" s="127">
        <v>67</v>
      </c>
      <c r="BE7" s="127">
        <v>56</v>
      </c>
      <c r="BF7" s="127">
        <v>57</v>
      </c>
      <c r="BG7" s="127">
        <v>69</v>
      </c>
      <c r="BH7" s="127">
        <v>91</v>
      </c>
      <c r="BI7" s="127">
        <v>94</v>
      </c>
      <c r="BJ7" s="127">
        <v>83</v>
      </c>
      <c r="BK7" s="127">
        <v>87</v>
      </c>
      <c r="BL7" s="127">
        <v>105</v>
      </c>
      <c r="BM7" s="127">
        <v>122</v>
      </c>
      <c r="BN7" s="127">
        <v>122</v>
      </c>
      <c r="BO7" s="127">
        <v>118</v>
      </c>
      <c r="BP7" s="127">
        <v>106</v>
      </c>
      <c r="BQ7" s="127">
        <v>115</v>
      </c>
      <c r="BR7" s="127">
        <v>126</v>
      </c>
      <c r="BS7" s="127">
        <v>152</v>
      </c>
      <c r="BT7" s="127">
        <v>146</v>
      </c>
      <c r="BU7" s="127">
        <v>164</v>
      </c>
      <c r="BV7" s="127">
        <v>135</v>
      </c>
      <c r="BW7" s="127">
        <v>160</v>
      </c>
      <c r="BX7" s="127">
        <v>217</v>
      </c>
      <c r="BY7" s="127">
        <v>200</v>
      </c>
      <c r="BZ7" s="127">
        <v>212</v>
      </c>
      <c r="CA7" s="127">
        <v>244</v>
      </c>
      <c r="CB7" s="127">
        <v>233</v>
      </c>
      <c r="CC7" s="127">
        <v>199</v>
      </c>
      <c r="CD7" s="127">
        <v>228</v>
      </c>
      <c r="CE7" s="127">
        <v>218</v>
      </c>
      <c r="CF7" s="127">
        <v>241</v>
      </c>
      <c r="CG7" s="127">
        <v>259</v>
      </c>
      <c r="CH7" s="127">
        <v>244</v>
      </c>
      <c r="CI7" s="127">
        <v>254</v>
      </c>
      <c r="CJ7" s="127">
        <v>250</v>
      </c>
      <c r="CK7" s="127">
        <v>379</v>
      </c>
      <c r="CL7" s="127">
        <v>404</v>
      </c>
      <c r="CM7" s="127">
        <v>417</v>
      </c>
      <c r="CN7" s="127">
        <v>275</v>
      </c>
      <c r="CO7" s="127">
        <v>292</v>
      </c>
      <c r="CP7" s="127">
        <v>339</v>
      </c>
      <c r="CQ7" s="127">
        <v>343</v>
      </c>
      <c r="CR7" s="127">
        <v>353</v>
      </c>
      <c r="CS7" s="127">
        <v>353</v>
      </c>
      <c r="CT7" s="112">
        <v>366</v>
      </c>
      <c r="CU7" s="112">
        <v>404</v>
      </c>
      <c r="CV7" s="112">
        <v>380</v>
      </c>
      <c r="CW7" s="112">
        <v>373</v>
      </c>
    </row>
    <row r="8" spans="1:101" s="5" customFormat="1" ht="13">
      <c r="A8" s="26" t="s">
        <v>16</v>
      </c>
      <c r="B8" s="5">
        <v>110</v>
      </c>
      <c r="C8" s="5">
        <v>104</v>
      </c>
      <c r="D8" s="5">
        <v>125</v>
      </c>
      <c r="E8" s="5">
        <v>99</v>
      </c>
      <c r="F8" s="5">
        <v>108</v>
      </c>
      <c r="G8" s="5">
        <v>85</v>
      </c>
      <c r="H8" s="5">
        <v>101</v>
      </c>
      <c r="I8" s="5">
        <v>80</v>
      </c>
      <c r="J8" s="5">
        <v>81</v>
      </c>
      <c r="K8" s="5">
        <v>67</v>
      </c>
      <c r="L8" s="5">
        <v>81</v>
      </c>
      <c r="M8" s="5">
        <v>83</v>
      </c>
      <c r="N8" s="5">
        <v>79</v>
      </c>
      <c r="O8" s="5">
        <v>191</v>
      </c>
      <c r="P8" s="47">
        <v>91</v>
      </c>
      <c r="Q8" s="47">
        <v>88</v>
      </c>
      <c r="R8" s="47">
        <v>103</v>
      </c>
      <c r="S8" s="47">
        <v>81</v>
      </c>
      <c r="T8" s="5">
        <v>68</v>
      </c>
      <c r="U8" s="5">
        <v>62</v>
      </c>
      <c r="V8" s="5">
        <v>85</v>
      </c>
      <c r="W8" s="5">
        <v>82</v>
      </c>
      <c r="X8" s="5">
        <v>75</v>
      </c>
      <c r="Y8" s="5">
        <v>74</v>
      </c>
      <c r="Z8" s="5">
        <v>101</v>
      </c>
      <c r="AA8" s="5">
        <v>95</v>
      </c>
      <c r="AB8" s="5">
        <v>75</v>
      </c>
      <c r="AC8" s="5">
        <v>80</v>
      </c>
      <c r="AD8" s="5">
        <v>101</v>
      </c>
      <c r="AE8" s="5">
        <v>72</v>
      </c>
      <c r="AF8" s="5">
        <v>78</v>
      </c>
      <c r="AG8" s="5">
        <v>69</v>
      </c>
      <c r="AH8" s="5">
        <v>79</v>
      </c>
      <c r="AI8" s="5">
        <v>96</v>
      </c>
      <c r="AJ8" s="5">
        <v>118</v>
      </c>
      <c r="AK8" s="5">
        <v>129</v>
      </c>
      <c r="AL8" s="5">
        <v>119</v>
      </c>
      <c r="AM8" s="5">
        <v>105</v>
      </c>
      <c r="AN8" s="5">
        <v>119</v>
      </c>
      <c r="AO8" s="5">
        <v>133</v>
      </c>
      <c r="AP8" s="5">
        <v>140</v>
      </c>
      <c r="AQ8" s="5">
        <v>123</v>
      </c>
      <c r="AR8" s="5">
        <v>134</v>
      </c>
      <c r="AS8" s="5">
        <v>164</v>
      </c>
      <c r="AT8" s="5">
        <v>132</v>
      </c>
      <c r="AU8" s="5">
        <v>155</v>
      </c>
      <c r="AV8" s="1">
        <v>155</v>
      </c>
      <c r="AW8" s="1">
        <v>135</v>
      </c>
      <c r="AX8" s="112">
        <v>192</v>
      </c>
      <c r="AY8" s="112">
        <v>161</v>
      </c>
      <c r="AZ8" s="88">
        <v>14</v>
      </c>
      <c r="BA8" s="127">
        <v>12</v>
      </c>
      <c r="BB8" s="127">
        <v>22</v>
      </c>
      <c r="BC8" s="127">
        <v>19</v>
      </c>
      <c r="BD8" s="127">
        <v>8</v>
      </c>
      <c r="BE8" s="127">
        <v>20</v>
      </c>
      <c r="BF8" s="127">
        <v>19</v>
      </c>
      <c r="BG8" s="127">
        <v>26</v>
      </c>
      <c r="BH8" s="127">
        <v>27</v>
      </c>
      <c r="BI8" s="127">
        <v>26</v>
      </c>
      <c r="BJ8" s="127">
        <v>27</v>
      </c>
      <c r="BK8" s="127">
        <v>22</v>
      </c>
      <c r="BL8" s="127">
        <v>47</v>
      </c>
      <c r="BM8" s="127">
        <v>67</v>
      </c>
      <c r="BN8" s="127">
        <v>37</v>
      </c>
      <c r="BO8" s="127">
        <v>40</v>
      </c>
      <c r="BP8" s="127">
        <v>31</v>
      </c>
      <c r="BQ8" s="127">
        <v>31</v>
      </c>
      <c r="BR8" s="127">
        <v>33</v>
      </c>
      <c r="BS8" s="127">
        <v>34</v>
      </c>
      <c r="BT8" s="127">
        <v>50</v>
      </c>
      <c r="BU8" s="127">
        <v>41</v>
      </c>
      <c r="BV8" s="127">
        <v>37</v>
      </c>
      <c r="BW8" s="127">
        <v>46</v>
      </c>
      <c r="BX8" s="127">
        <v>45</v>
      </c>
      <c r="BY8" s="127">
        <v>60</v>
      </c>
      <c r="BZ8" s="127">
        <v>73</v>
      </c>
      <c r="CA8" s="127">
        <v>69</v>
      </c>
      <c r="CB8" s="127">
        <v>61</v>
      </c>
      <c r="CC8" s="127">
        <v>53</v>
      </c>
      <c r="CD8" s="127">
        <v>56</v>
      </c>
      <c r="CE8" s="127">
        <v>75</v>
      </c>
      <c r="CF8" s="127">
        <v>86</v>
      </c>
      <c r="CG8" s="127">
        <v>84</v>
      </c>
      <c r="CH8" s="127">
        <v>101</v>
      </c>
      <c r="CI8" s="127">
        <v>120</v>
      </c>
      <c r="CJ8" s="127">
        <v>106</v>
      </c>
      <c r="CK8" s="127">
        <v>113</v>
      </c>
      <c r="CL8" s="127">
        <v>117</v>
      </c>
      <c r="CM8" s="127">
        <v>155</v>
      </c>
      <c r="CN8" s="127">
        <v>140</v>
      </c>
      <c r="CO8" s="127">
        <v>169</v>
      </c>
      <c r="CP8" s="127">
        <v>124</v>
      </c>
      <c r="CQ8" s="127">
        <v>127</v>
      </c>
      <c r="CR8" s="127">
        <v>141</v>
      </c>
      <c r="CS8" s="127">
        <v>139</v>
      </c>
      <c r="CT8" s="112">
        <v>153</v>
      </c>
      <c r="CU8" s="112">
        <v>156</v>
      </c>
      <c r="CV8" s="112">
        <v>143</v>
      </c>
      <c r="CW8" s="112">
        <v>160</v>
      </c>
    </row>
    <row r="9" spans="1:101" s="5" customFormat="1" ht="13">
      <c r="A9" s="26" t="s">
        <v>49</v>
      </c>
      <c r="B9" s="5">
        <v>55</v>
      </c>
      <c r="C9" s="5">
        <v>64</v>
      </c>
      <c r="D9" s="5">
        <v>77</v>
      </c>
      <c r="E9" s="5">
        <v>67</v>
      </c>
      <c r="F9" s="5">
        <v>54</v>
      </c>
      <c r="G9" s="5">
        <v>63</v>
      </c>
      <c r="H9" s="5">
        <v>51</v>
      </c>
      <c r="I9" s="5">
        <v>38</v>
      </c>
      <c r="J9" s="5">
        <v>62</v>
      </c>
      <c r="K9" s="5">
        <v>46</v>
      </c>
      <c r="L9" s="5">
        <v>54</v>
      </c>
      <c r="M9" s="5">
        <v>36</v>
      </c>
      <c r="N9" s="5">
        <v>81</v>
      </c>
      <c r="O9" s="5">
        <v>37</v>
      </c>
      <c r="P9" s="47">
        <v>2</v>
      </c>
      <c r="Q9" s="47">
        <v>64</v>
      </c>
      <c r="R9" s="47">
        <v>76</v>
      </c>
      <c r="S9" s="47">
        <v>70</v>
      </c>
      <c r="T9" s="5">
        <v>72</v>
      </c>
      <c r="U9" s="5">
        <v>75</v>
      </c>
      <c r="V9" s="5">
        <v>75</v>
      </c>
      <c r="W9" s="5">
        <v>94</v>
      </c>
      <c r="X9" s="5">
        <v>112</v>
      </c>
      <c r="Y9" s="5">
        <v>102</v>
      </c>
      <c r="Z9" s="5">
        <v>73</v>
      </c>
      <c r="AA9" s="5">
        <v>101</v>
      </c>
      <c r="AB9" s="5">
        <v>114</v>
      </c>
      <c r="AC9" s="5">
        <v>118</v>
      </c>
      <c r="AD9" s="5">
        <v>100</v>
      </c>
      <c r="AE9" s="5">
        <v>107</v>
      </c>
      <c r="AF9" s="5">
        <v>112</v>
      </c>
      <c r="AG9" s="5">
        <v>102</v>
      </c>
      <c r="AH9" s="5">
        <v>96</v>
      </c>
      <c r="AI9" s="5">
        <v>95</v>
      </c>
      <c r="AJ9" s="5">
        <v>118</v>
      </c>
      <c r="AK9" s="5">
        <v>119</v>
      </c>
      <c r="AL9" s="5">
        <v>142</v>
      </c>
      <c r="AM9" s="5">
        <v>149</v>
      </c>
      <c r="AN9" s="5">
        <v>90</v>
      </c>
      <c r="AO9" s="5">
        <v>134</v>
      </c>
      <c r="AP9" s="5">
        <v>110</v>
      </c>
      <c r="AQ9" s="5">
        <v>131</v>
      </c>
      <c r="AR9" s="5">
        <v>143</v>
      </c>
      <c r="AS9" s="5">
        <v>126</v>
      </c>
      <c r="AT9" s="5">
        <v>138</v>
      </c>
      <c r="AU9" s="5">
        <v>155</v>
      </c>
      <c r="AV9" s="1">
        <v>208</v>
      </c>
      <c r="AW9" s="1">
        <v>177</v>
      </c>
      <c r="AX9" s="112">
        <v>206</v>
      </c>
      <c r="AY9" s="112">
        <v>202</v>
      </c>
      <c r="AZ9" s="88">
        <v>5</v>
      </c>
      <c r="BA9" s="127">
        <v>11</v>
      </c>
      <c r="BB9" s="127">
        <v>8</v>
      </c>
      <c r="BC9" s="127">
        <v>9</v>
      </c>
      <c r="BD9" s="127">
        <v>14</v>
      </c>
      <c r="BE9" s="127">
        <v>13</v>
      </c>
      <c r="BF9" s="127">
        <v>17</v>
      </c>
      <c r="BG9" s="127">
        <v>11</v>
      </c>
      <c r="BH9" s="127">
        <v>13</v>
      </c>
      <c r="BI9" s="127">
        <v>11</v>
      </c>
      <c r="BJ9" s="127">
        <v>16</v>
      </c>
      <c r="BK9" s="127">
        <v>22</v>
      </c>
      <c r="BL9" s="127">
        <v>24</v>
      </c>
      <c r="BM9" s="127">
        <v>21</v>
      </c>
      <c r="BN9" s="127">
        <v>1</v>
      </c>
      <c r="BO9" s="127">
        <v>29</v>
      </c>
      <c r="BP9" s="127">
        <v>24</v>
      </c>
      <c r="BQ9" s="127">
        <v>26</v>
      </c>
      <c r="BR9" s="127">
        <v>35</v>
      </c>
      <c r="BS9" s="127">
        <v>39</v>
      </c>
      <c r="BT9" s="127">
        <v>39</v>
      </c>
      <c r="BU9" s="127">
        <v>39</v>
      </c>
      <c r="BV9" s="127">
        <v>55</v>
      </c>
      <c r="BW9" s="127">
        <v>42</v>
      </c>
      <c r="BX9" s="127">
        <v>48</v>
      </c>
      <c r="BY9" s="127">
        <v>68</v>
      </c>
      <c r="BZ9" s="127">
        <v>68</v>
      </c>
      <c r="CA9" s="127">
        <v>71</v>
      </c>
      <c r="CB9" s="127">
        <v>72</v>
      </c>
      <c r="CC9" s="127">
        <v>59</v>
      </c>
      <c r="CD9" s="127">
        <v>69</v>
      </c>
      <c r="CE9" s="127">
        <v>89</v>
      </c>
      <c r="CF9" s="127">
        <v>62</v>
      </c>
      <c r="CG9" s="127">
        <v>73</v>
      </c>
      <c r="CH9" s="127">
        <v>83</v>
      </c>
      <c r="CI9" s="127">
        <v>115</v>
      </c>
      <c r="CJ9" s="127">
        <v>129</v>
      </c>
      <c r="CK9" s="127">
        <v>134</v>
      </c>
      <c r="CL9" s="127">
        <v>125</v>
      </c>
      <c r="CM9" s="127">
        <v>134</v>
      </c>
      <c r="CN9" s="127">
        <v>111</v>
      </c>
      <c r="CO9" s="127">
        <v>127</v>
      </c>
      <c r="CP9" s="127">
        <v>137</v>
      </c>
      <c r="CQ9" s="127">
        <v>130</v>
      </c>
      <c r="CR9" s="127">
        <v>142</v>
      </c>
      <c r="CS9" s="127">
        <v>179</v>
      </c>
      <c r="CT9" s="112">
        <v>178</v>
      </c>
      <c r="CU9" s="112">
        <v>185</v>
      </c>
      <c r="CV9" s="112">
        <v>236</v>
      </c>
      <c r="CW9" s="112">
        <v>202</v>
      </c>
    </row>
    <row r="10" spans="1:101" s="5" customFormat="1" ht="13">
      <c r="A10" s="26" t="s">
        <v>17</v>
      </c>
      <c r="B10" s="5">
        <v>565</v>
      </c>
      <c r="C10" s="5">
        <v>580</v>
      </c>
      <c r="D10" s="5">
        <v>627</v>
      </c>
      <c r="E10" s="5">
        <v>584</v>
      </c>
      <c r="F10" s="5">
        <v>598</v>
      </c>
      <c r="G10" s="5">
        <v>880</v>
      </c>
      <c r="H10" s="5">
        <v>1079</v>
      </c>
      <c r="I10" s="5">
        <v>1051</v>
      </c>
      <c r="J10" s="5">
        <v>970</v>
      </c>
      <c r="K10" s="5">
        <v>1063</v>
      </c>
      <c r="L10" s="5">
        <v>1078</v>
      </c>
      <c r="M10" s="5">
        <v>790</v>
      </c>
      <c r="N10" s="5">
        <v>652</v>
      </c>
      <c r="O10" s="5">
        <v>625</v>
      </c>
      <c r="P10" s="47">
        <v>661</v>
      </c>
      <c r="Q10" s="47">
        <v>608</v>
      </c>
      <c r="R10" s="47">
        <v>610</v>
      </c>
      <c r="S10" s="47">
        <v>658</v>
      </c>
      <c r="T10" s="5">
        <v>704</v>
      </c>
      <c r="U10" s="5">
        <v>677</v>
      </c>
      <c r="V10" s="5">
        <v>718</v>
      </c>
      <c r="W10" s="5">
        <v>728</v>
      </c>
      <c r="X10" s="5">
        <v>827</v>
      </c>
      <c r="Y10" s="5">
        <v>915</v>
      </c>
      <c r="Z10" s="5">
        <v>902</v>
      </c>
      <c r="AA10" s="5">
        <v>882</v>
      </c>
      <c r="AB10" s="5">
        <v>957</v>
      </c>
      <c r="AC10" s="5">
        <v>981</v>
      </c>
      <c r="AD10" s="5">
        <v>990</v>
      </c>
      <c r="AE10" s="5">
        <v>1009</v>
      </c>
      <c r="AF10" s="5">
        <v>1047</v>
      </c>
      <c r="AG10" s="5">
        <v>1011</v>
      </c>
      <c r="AH10" s="5">
        <v>1035</v>
      </c>
      <c r="AI10" s="5">
        <v>1151</v>
      </c>
      <c r="AJ10" s="5">
        <v>1242</v>
      </c>
      <c r="AK10" s="5">
        <v>1323</v>
      </c>
      <c r="AL10" s="5">
        <v>1324</v>
      </c>
      <c r="AM10" s="5">
        <v>1394</v>
      </c>
      <c r="AN10" s="5">
        <v>1455</v>
      </c>
      <c r="AO10" s="5">
        <v>1507</v>
      </c>
      <c r="AP10" s="5">
        <v>1336</v>
      </c>
      <c r="AQ10" s="5">
        <v>1397</v>
      </c>
      <c r="AR10" s="5">
        <v>1416</v>
      </c>
      <c r="AS10" s="5">
        <v>1410</v>
      </c>
      <c r="AT10" s="5">
        <v>1511</v>
      </c>
      <c r="AU10" s="5">
        <v>1485</v>
      </c>
      <c r="AV10" s="4">
        <v>1494</v>
      </c>
      <c r="AW10" s="4">
        <v>1578</v>
      </c>
      <c r="AX10" s="128">
        <v>1615</v>
      </c>
      <c r="AY10" s="128">
        <v>1587</v>
      </c>
      <c r="AZ10" s="88">
        <v>103</v>
      </c>
      <c r="BA10" s="127">
        <v>122</v>
      </c>
      <c r="BB10" s="127">
        <v>134</v>
      </c>
      <c r="BC10" s="127">
        <v>150</v>
      </c>
      <c r="BD10" s="127">
        <v>164</v>
      </c>
      <c r="BE10" s="127">
        <v>261</v>
      </c>
      <c r="BF10" s="127">
        <v>332</v>
      </c>
      <c r="BG10" s="127">
        <v>367</v>
      </c>
      <c r="BH10" s="127">
        <v>351</v>
      </c>
      <c r="BI10" s="127">
        <v>454</v>
      </c>
      <c r="BJ10" s="127">
        <v>458</v>
      </c>
      <c r="BK10" s="127">
        <v>436</v>
      </c>
      <c r="BL10" s="127">
        <v>408</v>
      </c>
      <c r="BM10" s="127">
        <v>413</v>
      </c>
      <c r="BN10" s="127">
        <v>383</v>
      </c>
      <c r="BO10" s="127">
        <v>374</v>
      </c>
      <c r="BP10" s="127">
        <v>420</v>
      </c>
      <c r="BQ10" s="127">
        <v>451</v>
      </c>
      <c r="BR10" s="127">
        <v>496</v>
      </c>
      <c r="BS10" s="127">
        <v>524</v>
      </c>
      <c r="BT10" s="127">
        <v>533</v>
      </c>
      <c r="BU10" s="127">
        <v>521</v>
      </c>
      <c r="BV10" s="127">
        <v>603</v>
      </c>
      <c r="BW10" s="127">
        <v>746</v>
      </c>
      <c r="BX10" s="127">
        <v>742</v>
      </c>
      <c r="BY10" s="127">
        <v>771</v>
      </c>
      <c r="BZ10" s="127">
        <v>796</v>
      </c>
      <c r="CA10" s="127">
        <v>835</v>
      </c>
      <c r="CB10" s="127">
        <v>891</v>
      </c>
      <c r="CC10" s="127">
        <v>965</v>
      </c>
      <c r="CD10" s="127">
        <v>1127</v>
      </c>
      <c r="CE10" s="127">
        <v>1109</v>
      </c>
      <c r="CF10" s="127">
        <v>1248</v>
      </c>
      <c r="CG10" s="127">
        <v>1458</v>
      </c>
      <c r="CH10" s="127">
        <v>1666</v>
      </c>
      <c r="CI10" s="127">
        <v>1741</v>
      </c>
      <c r="CJ10" s="127">
        <v>1606</v>
      </c>
      <c r="CK10" s="127">
        <v>1944</v>
      </c>
      <c r="CL10" s="127">
        <v>2002</v>
      </c>
      <c r="CM10" s="127">
        <v>2006</v>
      </c>
      <c r="CN10" s="127">
        <v>1596</v>
      </c>
      <c r="CO10" s="127">
        <v>1560</v>
      </c>
      <c r="CP10" s="127">
        <v>1508</v>
      </c>
      <c r="CQ10" s="127">
        <v>1602</v>
      </c>
      <c r="CR10" s="127">
        <v>1742</v>
      </c>
      <c r="CS10" s="127">
        <v>1761</v>
      </c>
      <c r="CT10" s="128">
        <v>1717</v>
      </c>
      <c r="CU10" s="128">
        <v>1866</v>
      </c>
      <c r="CV10" s="128">
        <v>1888</v>
      </c>
      <c r="CW10" s="128">
        <v>1870</v>
      </c>
    </row>
    <row r="11" spans="1:101" s="5" customFormat="1" ht="13">
      <c r="A11" s="26" t="s">
        <v>18</v>
      </c>
      <c r="B11" s="5">
        <v>294</v>
      </c>
      <c r="C11" s="5">
        <v>386</v>
      </c>
      <c r="D11" s="5">
        <v>423</v>
      </c>
      <c r="E11" s="5">
        <v>451</v>
      </c>
      <c r="F11" s="5">
        <v>437</v>
      </c>
      <c r="G11" s="5">
        <v>419</v>
      </c>
      <c r="H11" s="5">
        <v>427</v>
      </c>
      <c r="I11" s="5">
        <v>437</v>
      </c>
      <c r="J11" s="5">
        <v>400</v>
      </c>
      <c r="K11" s="5">
        <v>362</v>
      </c>
      <c r="L11" s="5">
        <v>380</v>
      </c>
      <c r="M11" s="5">
        <v>377</v>
      </c>
      <c r="N11" s="5">
        <v>384</v>
      </c>
      <c r="O11" s="5">
        <v>382</v>
      </c>
      <c r="P11" s="47">
        <v>387</v>
      </c>
      <c r="Q11" s="47">
        <v>452</v>
      </c>
      <c r="R11" s="47">
        <v>421</v>
      </c>
      <c r="S11" s="47">
        <v>407</v>
      </c>
      <c r="T11" s="5">
        <v>442</v>
      </c>
      <c r="U11" s="5">
        <v>486</v>
      </c>
      <c r="V11" s="5">
        <v>508</v>
      </c>
      <c r="W11" s="5">
        <v>530</v>
      </c>
      <c r="X11" s="5">
        <v>550</v>
      </c>
      <c r="Y11" s="5">
        <v>539</v>
      </c>
      <c r="Z11" s="5">
        <v>492</v>
      </c>
      <c r="AA11" s="5">
        <v>546</v>
      </c>
      <c r="AB11" s="5">
        <v>604</v>
      </c>
      <c r="AC11" s="5">
        <v>550</v>
      </c>
      <c r="AD11" s="5">
        <v>640</v>
      </c>
      <c r="AE11" s="5">
        <v>596</v>
      </c>
      <c r="AF11" s="5">
        <v>571</v>
      </c>
      <c r="AG11" s="5">
        <v>592</v>
      </c>
      <c r="AH11" s="5">
        <v>607</v>
      </c>
      <c r="AI11" s="5">
        <v>599</v>
      </c>
      <c r="AJ11" s="5">
        <v>608</v>
      </c>
      <c r="AK11" s="5">
        <v>664</v>
      </c>
      <c r="AL11" s="5">
        <v>727</v>
      </c>
      <c r="AM11" s="5">
        <v>838</v>
      </c>
      <c r="AN11" s="5">
        <v>819</v>
      </c>
      <c r="AO11" s="5">
        <v>818</v>
      </c>
      <c r="AP11" s="5">
        <v>752</v>
      </c>
      <c r="AQ11" s="5">
        <v>829</v>
      </c>
      <c r="AR11" s="5">
        <v>816</v>
      </c>
      <c r="AS11" s="5">
        <v>834</v>
      </c>
      <c r="AT11" s="5">
        <v>942</v>
      </c>
      <c r="AU11" s="5">
        <v>927</v>
      </c>
      <c r="AV11" s="96">
        <v>948</v>
      </c>
      <c r="AW11" s="96">
        <v>959</v>
      </c>
      <c r="AX11" s="96">
        <v>985</v>
      </c>
      <c r="AY11" s="96">
        <v>969</v>
      </c>
      <c r="AZ11" s="88">
        <v>51</v>
      </c>
      <c r="BA11" s="5">
        <v>70</v>
      </c>
      <c r="BB11" s="5">
        <v>66</v>
      </c>
      <c r="BC11" s="5">
        <v>93</v>
      </c>
      <c r="BD11" s="5">
        <v>108</v>
      </c>
      <c r="BE11" s="5">
        <v>129</v>
      </c>
      <c r="BF11" s="5">
        <v>141</v>
      </c>
      <c r="BG11" s="5">
        <v>133</v>
      </c>
      <c r="BH11" s="5">
        <v>163</v>
      </c>
      <c r="BI11" s="5">
        <v>168</v>
      </c>
      <c r="BJ11" s="5">
        <v>169</v>
      </c>
      <c r="BK11" s="5">
        <v>176</v>
      </c>
      <c r="BL11" s="5">
        <v>191</v>
      </c>
      <c r="BM11" s="5">
        <v>219</v>
      </c>
      <c r="BN11" s="5">
        <v>208</v>
      </c>
      <c r="BO11" s="5">
        <v>261</v>
      </c>
      <c r="BP11" s="5">
        <v>245</v>
      </c>
      <c r="BQ11" s="5">
        <v>247</v>
      </c>
      <c r="BR11" s="5">
        <v>295</v>
      </c>
      <c r="BS11" s="5">
        <v>314</v>
      </c>
      <c r="BT11" s="5">
        <v>292</v>
      </c>
      <c r="BU11" s="5">
        <v>297</v>
      </c>
      <c r="BV11" s="5">
        <v>330</v>
      </c>
      <c r="BW11" s="5">
        <v>360</v>
      </c>
      <c r="BX11" s="5">
        <v>321</v>
      </c>
      <c r="BY11" s="5">
        <v>388</v>
      </c>
      <c r="BZ11" s="5">
        <v>393</v>
      </c>
      <c r="CA11" s="5">
        <v>397</v>
      </c>
      <c r="CB11" s="5">
        <v>444</v>
      </c>
      <c r="CC11" s="5">
        <v>460</v>
      </c>
      <c r="CD11" s="5">
        <v>461</v>
      </c>
      <c r="CE11" s="5">
        <v>509</v>
      </c>
      <c r="CF11" s="5">
        <v>555</v>
      </c>
      <c r="CG11" s="5">
        <v>523</v>
      </c>
      <c r="CH11" s="5">
        <v>526</v>
      </c>
      <c r="CI11" s="5">
        <v>561</v>
      </c>
      <c r="CJ11" s="5">
        <v>709</v>
      </c>
      <c r="CK11" s="5">
        <v>787</v>
      </c>
      <c r="CL11" s="5">
        <v>862</v>
      </c>
      <c r="CM11" s="5">
        <v>882</v>
      </c>
      <c r="CN11" s="5">
        <v>909</v>
      </c>
      <c r="CO11" s="5">
        <v>864</v>
      </c>
      <c r="CP11" s="5">
        <v>894</v>
      </c>
      <c r="CQ11" s="5">
        <v>871</v>
      </c>
      <c r="CR11" s="5">
        <v>946</v>
      </c>
      <c r="CS11" s="5">
        <v>977</v>
      </c>
      <c r="CT11" s="96">
        <v>969</v>
      </c>
      <c r="CU11" s="96">
        <v>1044</v>
      </c>
      <c r="CV11" s="96">
        <v>981</v>
      </c>
      <c r="CW11" s="96">
        <v>902</v>
      </c>
    </row>
    <row r="12" spans="1:101" s="5" customFormat="1" ht="13">
      <c r="A12" s="26" t="s">
        <v>19</v>
      </c>
      <c r="B12" s="5">
        <v>149</v>
      </c>
      <c r="C12" s="5">
        <v>162</v>
      </c>
      <c r="D12" s="5">
        <v>172</v>
      </c>
      <c r="E12" s="5">
        <v>182</v>
      </c>
      <c r="F12" s="5">
        <v>228</v>
      </c>
      <c r="G12" s="5">
        <v>219</v>
      </c>
      <c r="H12" s="5">
        <v>218</v>
      </c>
      <c r="I12" s="5">
        <v>215</v>
      </c>
      <c r="J12" s="5">
        <v>200</v>
      </c>
      <c r="K12" s="5">
        <v>224</v>
      </c>
      <c r="L12" s="5">
        <v>213</v>
      </c>
      <c r="M12" s="5">
        <v>223</v>
      </c>
      <c r="N12" s="5">
        <v>189</v>
      </c>
      <c r="O12" s="5">
        <v>215</v>
      </c>
      <c r="P12" s="47">
        <v>210</v>
      </c>
      <c r="Q12" s="47">
        <v>200</v>
      </c>
      <c r="R12" s="47">
        <v>193</v>
      </c>
      <c r="S12" s="47">
        <v>212</v>
      </c>
      <c r="T12" s="5">
        <v>234</v>
      </c>
      <c r="U12" s="5">
        <v>234</v>
      </c>
      <c r="V12" s="5">
        <v>236</v>
      </c>
      <c r="W12" s="5">
        <v>230</v>
      </c>
      <c r="X12" s="5">
        <v>195</v>
      </c>
      <c r="Y12" s="5">
        <v>234</v>
      </c>
      <c r="Z12" s="5">
        <v>266</v>
      </c>
      <c r="AA12" s="5">
        <v>260</v>
      </c>
      <c r="AB12" s="5">
        <v>245</v>
      </c>
      <c r="AC12" s="5">
        <v>277</v>
      </c>
      <c r="AD12" s="5">
        <v>264</v>
      </c>
      <c r="AE12" s="5">
        <v>251</v>
      </c>
      <c r="AF12" s="5">
        <v>253</v>
      </c>
      <c r="AG12" s="5">
        <v>207</v>
      </c>
      <c r="AH12" s="5">
        <v>224</v>
      </c>
      <c r="AI12" s="5">
        <v>228</v>
      </c>
      <c r="AJ12" s="5">
        <v>236</v>
      </c>
      <c r="AK12" s="5">
        <v>277</v>
      </c>
      <c r="AL12" s="5">
        <v>257</v>
      </c>
      <c r="AM12" s="5">
        <v>319</v>
      </c>
      <c r="AN12" s="5">
        <v>294</v>
      </c>
      <c r="AO12" s="5">
        <v>241</v>
      </c>
      <c r="AP12" s="5">
        <v>248</v>
      </c>
      <c r="AQ12" s="5">
        <v>240</v>
      </c>
      <c r="AR12" s="5">
        <v>289</v>
      </c>
      <c r="AS12" s="5">
        <v>298</v>
      </c>
      <c r="AT12" s="5">
        <v>286</v>
      </c>
      <c r="AU12" s="5">
        <v>348</v>
      </c>
      <c r="AV12" s="1">
        <v>294</v>
      </c>
      <c r="AW12" s="1">
        <v>319</v>
      </c>
      <c r="AX12" s="1">
        <v>355</v>
      </c>
      <c r="AY12" s="1">
        <v>398</v>
      </c>
      <c r="AZ12" s="88">
        <v>24</v>
      </c>
      <c r="BA12" s="5">
        <v>28</v>
      </c>
      <c r="BB12" s="5">
        <v>26</v>
      </c>
      <c r="BC12" s="5">
        <v>23</v>
      </c>
      <c r="BD12" s="5">
        <v>31</v>
      </c>
      <c r="BE12" s="5">
        <v>32</v>
      </c>
      <c r="BF12" s="5">
        <v>41</v>
      </c>
      <c r="BG12" s="5">
        <v>36</v>
      </c>
      <c r="BH12" s="5">
        <v>42</v>
      </c>
      <c r="BI12" s="5">
        <v>37</v>
      </c>
      <c r="BJ12" s="5">
        <v>58</v>
      </c>
      <c r="BK12" s="5">
        <v>41</v>
      </c>
      <c r="BL12" s="5">
        <v>51</v>
      </c>
      <c r="BM12" s="5">
        <v>56</v>
      </c>
      <c r="BN12" s="5">
        <v>69</v>
      </c>
      <c r="BO12" s="5">
        <v>55</v>
      </c>
      <c r="BP12" s="5">
        <v>55</v>
      </c>
      <c r="BQ12" s="5">
        <v>69</v>
      </c>
      <c r="BR12" s="5">
        <v>79</v>
      </c>
      <c r="BS12" s="5">
        <v>98</v>
      </c>
      <c r="BT12" s="5">
        <v>84</v>
      </c>
      <c r="BU12" s="5">
        <v>94</v>
      </c>
      <c r="BV12" s="5">
        <v>116</v>
      </c>
      <c r="BW12" s="5">
        <v>94</v>
      </c>
      <c r="BX12" s="5">
        <v>135</v>
      </c>
      <c r="BY12" s="5">
        <v>137</v>
      </c>
      <c r="BZ12" s="5">
        <v>156</v>
      </c>
      <c r="CA12" s="5">
        <v>134</v>
      </c>
      <c r="CB12" s="5">
        <v>146</v>
      </c>
      <c r="CC12" s="5">
        <v>137</v>
      </c>
      <c r="CD12" s="5">
        <v>174</v>
      </c>
      <c r="CE12" s="5">
        <v>154</v>
      </c>
      <c r="CF12" s="5">
        <v>158</v>
      </c>
      <c r="CG12" s="5">
        <v>176</v>
      </c>
      <c r="CH12" s="5">
        <v>188</v>
      </c>
      <c r="CI12" s="5">
        <v>234</v>
      </c>
      <c r="CJ12" s="5">
        <v>258</v>
      </c>
      <c r="CK12" s="5">
        <v>259</v>
      </c>
      <c r="CL12" s="5">
        <v>296</v>
      </c>
      <c r="CM12" s="5">
        <v>323</v>
      </c>
      <c r="CN12" s="5">
        <v>247</v>
      </c>
      <c r="CO12" s="5">
        <v>264</v>
      </c>
      <c r="CP12" s="5">
        <v>302</v>
      </c>
      <c r="CQ12" s="5">
        <v>258</v>
      </c>
      <c r="CR12" s="5">
        <v>301</v>
      </c>
      <c r="CS12" s="5">
        <v>320</v>
      </c>
      <c r="CT12" s="1">
        <v>289</v>
      </c>
      <c r="CU12" s="1">
        <v>329</v>
      </c>
      <c r="CV12" s="1">
        <v>351</v>
      </c>
      <c r="CW12" s="1">
        <v>359</v>
      </c>
    </row>
    <row r="13" spans="1:101" s="5" customFormat="1" ht="13">
      <c r="A13" s="26" t="s">
        <v>20</v>
      </c>
      <c r="B13" s="5">
        <v>302</v>
      </c>
      <c r="C13" s="5">
        <v>335</v>
      </c>
      <c r="D13" s="5">
        <v>378</v>
      </c>
      <c r="E13" s="5">
        <v>302</v>
      </c>
      <c r="F13" s="5">
        <v>336</v>
      </c>
      <c r="G13" s="5">
        <v>315</v>
      </c>
      <c r="H13" s="5">
        <v>264</v>
      </c>
      <c r="I13" s="5">
        <v>241</v>
      </c>
      <c r="J13" s="5">
        <v>240</v>
      </c>
      <c r="K13" s="5">
        <v>247</v>
      </c>
      <c r="L13" s="5">
        <v>222</v>
      </c>
      <c r="M13" s="5">
        <v>194</v>
      </c>
      <c r="N13" s="5">
        <v>178</v>
      </c>
      <c r="O13" s="5">
        <v>198</v>
      </c>
      <c r="P13" s="47">
        <v>181</v>
      </c>
      <c r="Q13" s="47">
        <v>185</v>
      </c>
      <c r="R13" s="47">
        <v>209</v>
      </c>
      <c r="S13" s="47">
        <v>185</v>
      </c>
      <c r="T13" s="5">
        <v>248</v>
      </c>
      <c r="U13" s="5">
        <v>254</v>
      </c>
      <c r="V13" s="5">
        <v>288</v>
      </c>
      <c r="W13" s="5">
        <v>264</v>
      </c>
      <c r="X13" s="5">
        <v>272</v>
      </c>
      <c r="Y13" s="5">
        <v>269</v>
      </c>
      <c r="Z13" s="5">
        <v>273</v>
      </c>
      <c r="AA13" s="5">
        <v>338</v>
      </c>
      <c r="AB13" s="5">
        <v>313</v>
      </c>
      <c r="AC13" s="5">
        <v>335</v>
      </c>
      <c r="AD13" s="5">
        <v>333</v>
      </c>
      <c r="AE13" s="5">
        <v>339</v>
      </c>
      <c r="AF13" s="5">
        <v>347</v>
      </c>
      <c r="AG13" s="5">
        <v>306</v>
      </c>
      <c r="AH13" s="5">
        <v>282</v>
      </c>
      <c r="AI13" s="5">
        <v>250</v>
      </c>
      <c r="AJ13" s="5">
        <v>285</v>
      </c>
      <c r="AK13" s="5">
        <v>289</v>
      </c>
      <c r="AL13" s="5">
        <v>272</v>
      </c>
      <c r="AM13" s="5">
        <v>317</v>
      </c>
      <c r="AN13" s="5">
        <v>285</v>
      </c>
      <c r="AO13" s="5">
        <v>317</v>
      </c>
      <c r="AP13" s="5">
        <v>311</v>
      </c>
      <c r="AQ13" s="5">
        <v>280</v>
      </c>
      <c r="AR13" s="5">
        <v>352</v>
      </c>
      <c r="AS13" s="5">
        <v>392</v>
      </c>
      <c r="AT13" s="5">
        <v>347</v>
      </c>
      <c r="AU13" s="5">
        <v>356</v>
      </c>
      <c r="AV13" s="1">
        <v>378</v>
      </c>
      <c r="AW13" s="1">
        <v>374</v>
      </c>
      <c r="AX13" s="1">
        <v>310</v>
      </c>
      <c r="AY13" s="1">
        <v>341</v>
      </c>
      <c r="AZ13" s="88">
        <v>46</v>
      </c>
      <c r="BA13" s="5">
        <v>56</v>
      </c>
      <c r="BB13" s="5">
        <v>71</v>
      </c>
      <c r="BC13" s="5">
        <v>63</v>
      </c>
      <c r="BD13" s="5">
        <v>70</v>
      </c>
      <c r="BE13" s="5">
        <v>71</v>
      </c>
      <c r="BF13" s="5">
        <v>68</v>
      </c>
      <c r="BG13" s="5">
        <v>62</v>
      </c>
      <c r="BH13" s="5">
        <v>79</v>
      </c>
      <c r="BI13" s="5">
        <v>75</v>
      </c>
      <c r="BJ13" s="5">
        <v>92</v>
      </c>
      <c r="BK13" s="5">
        <v>75</v>
      </c>
      <c r="BL13" s="5">
        <v>84</v>
      </c>
      <c r="BM13" s="5">
        <v>82</v>
      </c>
      <c r="BN13" s="5">
        <v>63</v>
      </c>
      <c r="BO13" s="5">
        <v>71</v>
      </c>
      <c r="BP13" s="5">
        <v>81</v>
      </c>
      <c r="BQ13" s="5">
        <v>116</v>
      </c>
      <c r="BR13" s="5">
        <v>98</v>
      </c>
      <c r="BS13" s="5">
        <v>130</v>
      </c>
      <c r="BT13" s="5">
        <v>117</v>
      </c>
      <c r="BU13" s="5">
        <v>153</v>
      </c>
      <c r="BV13" s="5">
        <v>151</v>
      </c>
      <c r="BW13" s="5">
        <v>159</v>
      </c>
      <c r="BX13" s="5">
        <v>174</v>
      </c>
      <c r="BY13" s="5">
        <v>161</v>
      </c>
      <c r="BZ13" s="5">
        <v>206</v>
      </c>
      <c r="CA13" s="5">
        <v>209</v>
      </c>
      <c r="CB13" s="5">
        <v>234</v>
      </c>
      <c r="CC13" s="5">
        <v>223</v>
      </c>
      <c r="CD13" s="5">
        <v>265</v>
      </c>
      <c r="CE13" s="5">
        <v>247</v>
      </c>
      <c r="CF13" s="5">
        <v>255</v>
      </c>
      <c r="CG13" s="5">
        <v>241</v>
      </c>
      <c r="CH13" s="5">
        <v>286</v>
      </c>
      <c r="CI13" s="5">
        <v>273</v>
      </c>
      <c r="CJ13" s="5">
        <v>249</v>
      </c>
      <c r="CK13" s="5">
        <v>284</v>
      </c>
      <c r="CL13" s="5">
        <v>284</v>
      </c>
      <c r="CM13" s="5">
        <v>304</v>
      </c>
      <c r="CN13" s="5">
        <v>300</v>
      </c>
      <c r="CO13" s="5">
        <v>266</v>
      </c>
      <c r="CP13" s="5">
        <v>351</v>
      </c>
      <c r="CQ13" s="5">
        <v>297</v>
      </c>
      <c r="CR13" s="5">
        <v>332</v>
      </c>
      <c r="CS13" s="5">
        <v>329</v>
      </c>
      <c r="CT13" s="1">
        <v>338</v>
      </c>
      <c r="CU13" s="1">
        <v>345</v>
      </c>
      <c r="CV13" s="1">
        <v>364</v>
      </c>
      <c r="CW13" s="1">
        <v>379</v>
      </c>
    </row>
    <row r="14" spans="1:101" s="5" customFormat="1" ht="13">
      <c r="A14" s="26" t="s">
        <v>21</v>
      </c>
      <c r="B14" s="5">
        <v>492</v>
      </c>
      <c r="C14" s="5">
        <v>450</v>
      </c>
      <c r="D14" s="5">
        <v>511</v>
      </c>
      <c r="E14" s="5">
        <v>469</v>
      </c>
      <c r="F14" s="5">
        <v>456</v>
      </c>
      <c r="G14" s="5">
        <v>493</v>
      </c>
      <c r="H14" s="5">
        <v>455</v>
      </c>
      <c r="I14" s="5">
        <v>413</v>
      </c>
      <c r="J14" s="5">
        <v>383</v>
      </c>
      <c r="K14" s="5">
        <v>384</v>
      </c>
      <c r="L14" s="5">
        <v>362</v>
      </c>
      <c r="M14" s="5">
        <v>371</v>
      </c>
      <c r="N14" s="5">
        <v>346</v>
      </c>
      <c r="O14" s="5">
        <v>359</v>
      </c>
      <c r="P14" s="47">
        <v>380</v>
      </c>
      <c r="Q14" s="47">
        <v>390</v>
      </c>
      <c r="R14" s="47">
        <v>392</v>
      </c>
      <c r="S14" s="47">
        <v>418</v>
      </c>
      <c r="T14" s="5">
        <v>405</v>
      </c>
      <c r="U14" s="5">
        <v>407</v>
      </c>
      <c r="V14" s="5">
        <v>473</v>
      </c>
      <c r="W14" s="5">
        <v>476</v>
      </c>
      <c r="X14" s="5">
        <v>554</v>
      </c>
      <c r="Y14" s="5">
        <v>550</v>
      </c>
      <c r="Z14" s="5">
        <v>539</v>
      </c>
      <c r="AA14" s="5">
        <v>505</v>
      </c>
      <c r="AB14" s="5">
        <v>540</v>
      </c>
      <c r="AC14" s="5">
        <v>561</v>
      </c>
      <c r="AD14" s="5">
        <v>563</v>
      </c>
      <c r="AE14" s="5">
        <v>553</v>
      </c>
      <c r="AF14" s="5">
        <v>520</v>
      </c>
      <c r="AG14" s="5">
        <v>538</v>
      </c>
      <c r="AH14" s="5">
        <v>547</v>
      </c>
      <c r="AI14" s="5">
        <v>488</v>
      </c>
      <c r="AJ14" s="5">
        <v>571</v>
      </c>
      <c r="AK14" s="5">
        <v>612</v>
      </c>
      <c r="AL14" s="5">
        <v>666</v>
      </c>
      <c r="AM14" s="5">
        <v>689</v>
      </c>
      <c r="AN14" s="5">
        <v>723</v>
      </c>
      <c r="AO14" s="5">
        <v>639</v>
      </c>
      <c r="AP14" s="5">
        <v>641</v>
      </c>
      <c r="AQ14" s="5">
        <v>669</v>
      </c>
      <c r="AR14" s="5">
        <v>654</v>
      </c>
      <c r="AS14" s="5">
        <v>728</v>
      </c>
      <c r="AT14" s="5">
        <v>697</v>
      </c>
      <c r="AU14" s="5">
        <v>781</v>
      </c>
      <c r="AV14" s="1">
        <v>744</v>
      </c>
      <c r="AW14" s="1">
        <v>711</v>
      </c>
      <c r="AX14" s="1">
        <v>789</v>
      </c>
      <c r="AY14" s="1">
        <v>780</v>
      </c>
      <c r="AZ14" s="88">
        <v>84</v>
      </c>
      <c r="BA14" s="5">
        <v>102</v>
      </c>
      <c r="BB14" s="5">
        <v>106</v>
      </c>
      <c r="BC14" s="5">
        <v>154</v>
      </c>
      <c r="BD14" s="5">
        <v>128</v>
      </c>
      <c r="BE14" s="5">
        <v>156</v>
      </c>
      <c r="BF14" s="5">
        <v>157</v>
      </c>
      <c r="BG14" s="5">
        <v>189</v>
      </c>
      <c r="BH14" s="5">
        <v>195</v>
      </c>
      <c r="BI14" s="5">
        <v>203</v>
      </c>
      <c r="BJ14" s="5">
        <v>167</v>
      </c>
      <c r="BK14" s="5">
        <v>223</v>
      </c>
      <c r="BL14" s="5">
        <v>248</v>
      </c>
      <c r="BM14" s="5">
        <v>239</v>
      </c>
      <c r="BN14" s="5">
        <v>277</v>
      </c>
      <c r="BO14" s="5">
        <v>306</v>
      </c>
      <c r="BP14" s="5">
        <v>271</v>
      </c>
      <c r="BQ14" s="5">
        <v>272</v>
      </c>
      <c r="BR14" s="5">
        <v>300</v>
      </c>
      <c r="BS14" s="5">
        <v>296</v>
      </c>
      <c r="BT14" s="5">
        <v>343</v>
      </c>
      <c r="BU14" s="5">
        <v>362</v>
      </c>
      <c r="BV14" s="5">
        <v>374</v>
      </c>
      <c r="BW14" s="5">
        <v>399</v>
      </c>
      <c r="BX14" s="5">
        <v>395</v>
      </c>
      <c r="BY14" s="5">
        <v>372</v>
      </c>
      <c r="BZ14" s="5">
        <v>382</v>
      </c>
      <c r="CA14" s="5">
        <v>427</v>
      </c>
      <c r="CB14" s="5">
        <v>432</v>
      </c>
      <c r="CC14" s="5">
        <v>447</v>
      </c>
      <c r="CD14" s="5">
        <v>457</v>
      </c>
      <c r="CE14" s="5">
        <v>426</v>
      </c>
      <c r="CF14" s="5">
        <v>425</v>
      </c>
      <c r="CG14" s="5">
        <v>481</v>
      </c>
      <c r="CH14" s="5">
        <v>492</v>
      </c>
      <c r="CI14" s="5">
        <v>616</v>
      </c>
      <c r="CJ14" s="5">
        <v>698</v>
      </c>
      <c r="CK14" s="5">
        <v>681</v>
      </c>
      <c r="CL14" s="5">
        <v>738</v>
      </c>
      <c r="CM14" s="5">
        <v>631</v>
      </c>
      <c r="CN14" s="5">
        <v>650</v>
      </c>
      <c r="CO14" s="5">
        <v>619</v>
      </c>
      <c r="CP14" s="5">
        <v>719</v>
      </c>
      <c r="CQ14" s="5">
        <v>775</v>
      </c>
      <c r="CR14" s="5">
        <v>684</v>
      </c>
      <c r="CS14" s="5">
        <v>728</v>
      </c>
      <c r="CT14" s="1">
        <v>664</v>
      </c>
      <c r="CU14" s="1">
        <v>736</v>
      </c>
      <c r="CV14" s="1">
        <v>800</v>
      </c>
      <c r="CW14" s="1">
        <v>701</v>
      </c>
    </row>
    <row r="15" spans="1:101" s="5" customFormat="1" ht="13">
      <c r="A15" s="26" t="s">
        <v>22</v>
      </c>
      <c r="B15" s="5">
        <v>162</v>
      </c>
      <c r="C15" s="5">
        <v>191</v>
      </c>
      <c r="D15" s="5">
        <v>207</v>
      </c>
      <c r="E15" s="5">
        <v>231</v>
      </c>
      <c r="F15" s="5">
        <v>197</v>
      </c>
      <c r="G15" s="5">
        <v>204</v>
      </c>
      <c r="H15" s="5">
        <v>235</v>
      </c>
      <c r="I15" s="5">
        <v>215</v>
      </c>
      <c r="J15" s="5">
        <v>213</v>
      </c>
      <c r="K15" s="5">
        <v>150</v>
      </c>
      <c r="L15" s="5">
        <v>159</v>
      </c>
      <c r="M15" s="5">
        <v>162</v>
      </c>
      <c r="N15" s="5">
        <v>192</v>
      </c>
      <c r="O15" s="5">
        <v>175</v>
      </c>
      <c r="P15" s="47">
        <v>230</v>
      </c>
      <c r="Q15" s="47">
        <v>160</v>
      </c>
      <c r="R15" s="47">
        <v>164</v>
      </c>
      <c r="S15" s="47">
        <v>181</v>
      </c>
      <c r="T15" s="5">
        <v>154</v>
      </c>
      <c r="U15" s="5">
        <v>156</v>
      </c>
      <c r="V15" s="5">
        <v>191</v>
      </c>
      <c r="W15" s="5">
        <v>212</v>
      </c>
      <c r="X15" s="5">
        <v>208</v>
      </c>
      <c r="Y15" s="5">
        <v>185</v>
      </c>
      <c r="Z15" s="5">
        <v>233</v>
      </c>
      <c r="AA15" s="5">
        <v>259</v>
      </c>
      <c r="AB15" s="5">
        <v>205</v>
      </c>
      <c r="AC15" s="5">
        <v>199</v>
      </c>
      <c r="AD15" s="5">
        <v>203</v>
      </c>
      <c r="AE15" s="5">
        <v>178</v>
      </c>
      <c r="AF15" s="5">
        <v>185</v>
      </c>
      <c r="AG15" s="5">
        <v>181</v>
      </c>
      <c r="AH15" s="5">
        <v>158</v>
      </c>
      <c r="AI15" s="5">
        <v>160</v>
      </c>
      <c r="AJ15" s="5">
        <v>164</v>
      </c>
      <c r="AK15" s="5">
        <v>179</v>
      </c>
      <c r="AL15" s="5">
        <v>191</v>
      </c>
      <c r="AM15" s="5">
        <v>198</v>
      </c>
      <c r="AN15" s="5">
        <v>217</v>
      </c>
      <c r="AO15" s="5">
        <v>212</v>
      </c>
      <c r="AP15" s="5">
        <v>205</v>
      </c>
      <c r="AQ15" s="5">
        <v>223</v>
      </c>
      <c r="AR15" s="5">
        <v>235</v>
      </c>
      <c r="AS15" s="5">
        <v>222</v>
      </c>
      <c r="AT15" s="5">
        <v>231</v>
      </c>
      <c r="AU15" s="5">
        <v>241</v>
      </c>
      <c r="AV15" s="1">
        <v>246</v>
      </c>
      <c r="AW15" s="1">
        <v>267</v>
      </c>
      <c r="AX15" s="1">
        <v>285</v>
      </c>
      <c r="AY15" s="1">
        <v>301</v>
      </c>
      <c r="AZ15" s="88">
        <v>16</v>
      </c>
      <c r="BA15" s="5">
        <v>34</v>
      </c>
      <c r="BB15" s="5">
        <v>46</v>
      </c>
      <c r="BC15" s="5">
        <v>47</v>
      </c>
      <c r="BD15" s="5">
        <v>44</v>
      </c>
      <c r="BE15" s="5">
        <v>51</v>
      </c>
      <c r="BF15" s="5">
        <v>45</v>
      </c>
      <c r="BG15" s="5">
        <v>61</v>
      </c>
      <c r="BH15" s="5">
        <v>56</v>
      </c>
      <c r="BI15" s="5">
        <v>66</v>
      </c>
      <c r="BJ15" s="5">
        <v>67</v>
      </c>
      <c r="BK15" s="5">
        <v>79</v>
      </c>
      <c r="BL15" s="5">
        <v>88</v>
      </c>
      <c r="BM15" s="5">
        <v>99</v>
      </c>
      <c r="BN15" s="5">
        <v>109</v>
      </c>
      <c r="BO15" s="5">
        <v>85</v>
      </c>
      <c r="BP15" s="5">
        <v>104</v>
      </c>
      <c r="BQ15" s="5">
        <v>91</v>
      </c>
      <c r="BR15" s="5">
        <v>87</v>
      </c>
      <c r="BS15" s="5">
        <v>89</v>
      </c>
      <c r="BT15" s="5">
        <v>102</v>
      </c>
      <c r="BU15" s="5">
        <v>128</v>
      </c>
      <c r="BV15" s="5">
        <v>94</v>
      </c>
      <c r="BW15" s="5">
        <v>118</v>
      </c>
      <c r="BX15" s="5">
        <v>119</v>
      </c>
      <c r="BY15" s="5">
        <v>140</v>
      </c>
      <c r="BZ15" s="5">
        <v>147</v>
      </c>
      <c r="CA15" s="5">
        <v>127</v>
      </c>
      <c r="CB15" s="5">
        <v>148</v>
      </c>
      <c r="CC15" s="5">
        <v>173</v>
      </c>
      <c r="CD15" s="5">
        <v>162</v>
      </c>
      <c r="CE15" s="5">
        <v>151</v>
      </c>
      <c r="CF15" s="5">
        <v>176</v>
      </c>
      <c r="CG15" s="5">
        <v>180</v>
      </c>
      <c r="CH15" s="5">
        <v>193</v>
      </c>
      <c r="CI15" s="5">
        <v>194</v>
      </c>
      <c r="CJ15" s="5">
        <v>183</v>
      </c>
      <c r="CK15" s="5">
        <v>239</v>
      </c>
      <c r="CL15" s="5">
        <v>256</v>
      </c>
      <c r="CM15" s="5">
        <v>221</v>
      </c>
      <c r="CN15" s="5">
        <v>269</v>
      </c>
      <c r="CO15" s="5">
        <v>237</v>
      </c>
      <c r="CP15" s="5">
        <v>268</v>
      </c>
      <c r="CQ15" s="5">
        <v>270</v>
      </c>
      <c r="CR15" s="5">
        <v>230</v>
      </c>
      <c r="CS15" s="5">
        <v>333</v>
      </c>
      <c r="CT15" s="1">
        <v>344</v>
      </c>
      <c r="CU15" s="1">
        <v>363</v>
      </c>
      <c r="CV15" s="1">
        <v>329</v>
      </c>
      <c r="CW15" s="1">
        <v>453</v>
      </c>
    </row>
    <row r="16" spans="1:101" s="5" customFormat="1" ht="13">
      <c r="A16" s="26" t="s">
        <v>23</v>
      </c>
      <c r="B16" s="5">
        <v>562</v>
      </c>
      <c r="C16" s="5">
        <v>634</v>
      </c>
      <c r="D16" s="5">
        <v>647</v>
      </c>
      <c r="E16" s="5">
        <v>633</v>
      </c>
      <c r="F16" s="5">
        <v>658</v>
      </c>
      <c r="G16" s="5">
        <v>657</v>
      </c>
      <c r="H16" s="5">
        <v>581</v>
      </c>
      <c r="I16" s="5">
        <v>524</v>
      </c>
      <c r="J16" s="5">
        <v>540</v>
      </c>
      <c r="K16" s="5">
        <v>534</v>
      </c>
      <c r="L16" s="5">
        <v>503</v>
      </c>
      <c r="M16" s="5">
        <v>478</v>
      </c>
      <c r="N16" s="5">
        <v>495</v>
      </c>
      <c r="O16" s="5">
        <v>468</v>
      </c>
      <c r="P16" s="47">
        <v>521</v>
      </c>
      <c r="Q16" s="47">
        <v>444</v>
      </c>
      <c r="R16" s="47">
        <v>509</v>
      </c>
      <c r="S16" s="47">
        <v>503</v>
      </c>
      <c r="T16" s="5">
        <v>521</v>
      </c>
      <c r="U16" s="5">
        <v>477</v>
      </c>
      <c r="V16" s="5">
        <v>553</v>
      </c>
      <c r="W16" s="5">
        <v>534</v>
      </c>
      <c r="X16" s="5">
        <v>571</v>
      </c>
      <c r="Y16" s="5">
        <v>616</v>
      </c>
      <c r="Z16" s="5">
        <v>595</v>
      </c>
      <c r="AA16" s="5">
        <v>623</v>
      </c>
      <c r="AB16" s="5">
        <v>608</v>
      </c>
      <c r="AC16" s="5">
        <v>587</v>
      </c>
      <c r="AD16" s="5">
        <v>617</v>
      </c>
      <c r="AE16" s="5">
        <v>628</v>
      </c>
      <c r="AF16" s="5">
        <v>615</v>
      </c>
      <c r="AG16" s="5">
        <v>621</v>
      </c>
      <c r="AH16" s="5">
        <v>614</v>
      </c>
      <c r="AI16" s="5">
        <v>595</v>
      </c>
      <c r="AJ16" s="5">
        <v>641</v>
      </c>
      <c r="AK16" s="5">
        <v>691</v>
      </c>
      <c r="AL16" s="5">
        <v>742</v>
      </c>
      <c r="AM16" s="5">
        <v>751</v>
      </c>
      <c r="AN16" s="5">
        <v>750</v>
      </c>
      <c r="AO16" s="5">
        <v>792</v>
      </c>
      <c r="AP16" s="5">
        <v>778</v>
      </c>
      <c r="AQ16" s="5">
        <v>787</v>
      </c>
      <c r="AR16" s="5">
        <v>858</v>
      </c>
      <c r="AS16" s="5">
        <v>991</v>
      </c>
      <c r="AT16" s="5">
        <v>998</v>
      </c>
      <c r="AU16" s="5">
        <v>998</v>
      </c>
      <c r="AV16" s="1">
        <v>1095</v>
      </c>
      <c r="AW16" s="1">
        <v>1219</v>
      </c>
      <c r="AX16" s="1">
        <v>1145</v>
      </c>
      <c r="AY16" s="1">
        <v>1165</v>
      </c>
      <c r="AZ16" s="88">
        <v>72</v>
      </c>
      <c r="BA16" s="5">
        <v>89</v>
      </c>
      <c r="BB16" s="5">
        <v>116</v>
      </c>
      <c r="BC16" s="5">
        <v>154</v>
      </c>
      <c r="BD16" s="5">
        <v>166</v>
      </c>
      <c r="BE16" s="5">
        <v>168</v>
      </c>
      <c r="BF16" s="5">
        <v>153</v>
      </c>
      <c r="BG16" s="5">
        <v>192</v>
      </c>
      <c r="BH16" s="5">
        <v>202</v>
      </c>
      <c r="BI16" s="5">
        <v>205</v>
      </c>
      <c r="BJ16" s="5">
        <v>254</v>
      </c>
      <c r="BK16" s="5">
        <v>236</v>
      </c>
      <c r="BL16" s="5">
        <v>237</v>
      </c>
      <c r="BM16" s="5">
        <v>257</v>
      </c>
      <c r="BN16" s="5">
        <v>248</v>
      </c>
      <c r="BO16" s="5">
        <v>253</v>
      </c>
      <c r="BP16" s="5">
        <v>244</v>
      </c>
      <c r="BQ16" s="5">
        <v>285</v>
      </c>
      <c r="BR16" s="5">
        <v>275</v>
      </c>
      <c r="BS16" s="5">
        <v>247</v>
      </c>
      <c r="BT16" s="5">
        <v>308</v>
      </c>
      <c r="BU16" s="5">
        <v>338</v>
      </c>
      <c r="BV16" s="5">
        <v>352</v>
      </c>
      <c r="BW16" s="5">
        <v>364</v>
      </c>
      <c r="BX16" s="5">
        <v>393</v>
      </c>
      <c r="BY16" s="5">
        <v>399</v>
      </c>
      <c r="BZ16" s="5">
        <v>439</v>
      </c>
      <c r="CA16" s="5">
        <v>507</v>
      </c>
      <c r="CB16" s="5">
        <v>466</v>
      </c>
      <c r="CC16" s="5">
        <v>495</v>
      </c>
      <c r="CD16" s="5">
        <v>537</v>
      </c>
      <c r="CE16" s="5">
        <v>509</v>
      </c>
      <c r="CF16" s="5">
        <v>500</v>
      </c>
      <c r="CG16" s="5">
        <v>543</v>
      </c>
      <c r="CH16" s="5">
        <v>607</v>
      </c>
      <c r="CI16" s="5">
        <v>664</v>
      </c>
      <c r="CJ16" s="5">
        <v>680</v>
      </c>
      <c r="CK16" s="5">
        <v>741</v>
      </c>
      <c r="CL16" s="5">
        <v>815</v>
      </c>
      <c r="CM16" s="5">
        <v>863</v>
      </c>
      <c r="CN16" s="5">
        <v>799</v>
      </c>
      <c r="CO16" s="5">
        <v>847</v>
      </c>
      <c r="CP16" s="5">
        <v>990</v>
      </c>
      <c r="CQ16" s="5">
        <v>1037</v>
      </c>
      <c r="CR16" s="5">
        <v>1148</v>
      </c>
      <c r="CS16" s="5">
        <v>1102</v>
      </c>
      <c r="CT16" s="1">
        <v>1165</v>
      </c>
      <c r="CU16" s="1">
        <v>1312</v>
      </c>
      <c r="CV16" s="1">
        <v>1267</v>
      </c>
      <c r="CW16" s="1">
        <v>1309</v>
      </c>
    </row>
    <row r="17" spans="1:101" s="5" customFormat="1" ht="13">
      <c r="A17" s="26" t="s">
        <v>24</v>
      </c>
      <c r="B17" s="5">
        <v>425</v>
      </c>
      <c r="C17" s="5">
        <v>419</v>
      </c>
      <c r="D17" s="5">
        <v>449</v>
      </c>
      <c r="E17" s="5">
        <v>440</v>
      </c>
      <c r="F17" s="5">
        <v>404</v>
      </c>
      <c r="G17" s="5">
        <v>387</v>
      </c>
      <c r="H17" s="5">
        <v>330</v>
      </c>
      <c r="I17" s="5">
        <v>316</v>
      </c>
      <c r="J17" s="5">
        <v>288</v>
      </c>
      <c r="K17" s="5">
        <v>317</v>
      </c>
      <c r="L17" s="5">
        <v>283</v>
      </c>
      <c r="M17" s="5">
        <v>281</v>
      </c>
      <c r="N17" s="5">
        <v>242</v>
      </c>
      <c r="O17" s="5">
        <v>264</v>
      </c>
      <c r="P17" s="47">
        <v>274</v>
      </c>
      <c r="Q17" s="47">
        <v>282</v>
      </c>
      <c r="R17" s="47">
        <v>255</v>
      </c>
      <c r="S17" s="47">
        <v>205</v>
      </c>
      <c r="T17" s="5">
        <v>221</v>
      </c>
      <c r="U17" s="5">
        <v>217</v>
      </c>
      <c r="V17" s="5">
        <v>262</v>
      </c>
      <c r="W17" s="5">
        <v>226</v>
      </c>
      <c r="X17" s="5">
        <v>259</v>
      </c>
      <c r="Y17" s="5">
        <v>247</v>
      </c>
      <c r="Z17" s="5">
        <v>254</v>
      </c>
      <c r="AA17" s="5">
        <v>238</v>
      </c>
      <c r="AB17" s="5">
        <v>225</v>
      </c>
      <c r="AC17" s="5">
        <v>278</v>
      </c>
      <c r="AD17" s="5">
        <v>253</v>
      </c>
      <c r="AE17" s="5">
        <v>248</v>
      </c>
      <c r="AF17" s="5">
        <v>252</v>
      </c>
      <c r="AG17" s="5">
        <v>306</v>
      </c>
      <c r="AH17" s="5">
        <v>250</v>
      </c>
      <c r="AI17" s="5">
        <v>244</v>
      </c>
      <c r="AJ17" s="5">
        <v>247</v>
      </c>
      <c r="AK17" s="5">
        <v>239</v>
      </c>
      <c r="AL17" s="5">
        <v>255</v>
      </c>
      <c r="AM17" s="5">
        <v>266</v>
      </c>
      <c r="AN17" s="5">
        <v>233</v>
      </c>
      <c r="AO17" s="5">
        <v>247</v>
      </c>
      <c r="AP17" s="5">
        <v>239</v>
      </c>
      <c r="AQ17" s="5">
        <v>237</v>
      </c>
      <c r="AR17" s="5">
        <v>276</v>
      </c>
      <c r="AS17" s="5">
        <v>289</v>
      </c>
      <c r="AT17" s="5">
        <v>290</v>
      </c>
      <c r="AU17" s="5">
        <v>308</v>
      </c>
      <c r="AV17" s="1">
        <v>310</v>
      </c>
      <c r="AW17" s="1">
        <v>303</v>
      </c>
      <c r="AX17" s="1">
        <v>310</v>
      </c>
      <c r="AY17" s="1">
        <v>314</v>
      </c>
      <c r="AZ17" s="88">
        <v>59</v>
      </c>
      <c r="BA17" s="5">
        <v>48</v>
      </c>
      <c r="BB17" s="5">
        <v>60</v>
      </c>
      <c r="BC17" s="5">
        <v>65</v>
      </c>
      <c r="BD17" s="5">
        <v>70</v>
      </c>
      <c r="BE17" s="5">
        <v>111</v>
      </c>
      <c r="BF17" s="5">
        <v>86</v>
      </c>
      <c r="BG17" s="5">
        <v>90</v>
      </c>
      <c r="BH17" s="5">
        <v>102</v>
      </c>
      <c r="BI17" s="5">
        <v>104</v>
      </c>
      <c r="BJ17" s="5">
        <v>94</v>
      </c>
      <c r="BK17" s="5">
        <v>98</v>
      </c>
      <c r="BL17" s="5">
        <v>120</v>
      </c>
      <c r="BM17" s="5">
        <v>141</v>
      </c>
      <c r="BN17" s="5">
        <v>141</v>
      </c>
      <c r="BO17" s="5">
        <v>122</v>
      </c>
      <c r="BP17" s="5">
        <v>157</v>
      </c>
      <c r="BQ17" s="5">
        <v>137</v>
      </c>
      <c r="BR17" s="5">
        <v>128</v>
      </c>
      <c r="BS17" s="5">
        <v>141</v>
      </c>
      <c r="BT17" s="5">
        <v>146</v>
      </c>
      <c r="BU17" s="5">
        <v>154</v>
      </c>
      <c r="BV17" s="5">
        <v>139</v>
      </c>
      <c r="BW17" s="5">
        <v>169</v>
      </c>
      <c r="BX17" s="5">
        <v>133</v>
      </c>
      <c r="BY17" s="5">
        <v>176</v>
      </c>
      <c r="BZ17" s="5">
        <v>133</v>
      </c>
      <c r="CA17" s="5">
        <v>170</v>
      </c>
      <c r="CB17" s="5">
        <v>157</v>
      </c>
      <c r="CC17" s="5">
        <v>155</v>
      </c>
      <c r="CD17" s="5">
        <v>185</v>
      </c>
      <c r="CE17" s="5">
        <v>198</v>
      </c>
      <c r="CF17" s="5">
        <v>189</v>
      </c>
      <c r="CG17" s="5">
        <v>172</v>
      </c>
      <c r="CH17" s="5">
        <v>155</v>
      </c>
      <c r="CI17" s="5">
        <v>174</v>
      </c>
      <c r="CJ17" s="5">
        <v>173</v>
      </c>
      <c r="CK17" s="5">
        <v>196</v>
      </c>
      <c r="CL17" s="5">
        <v>176</v>
      </c>
      <c r="CM17" s="5">
        <v>207</v>
      </c>
      <c r="CN17" s="5">
        <v>243</v>
      </c>
      <c r="CO17" s="5">
        <v>195</v>
      </c>
      <c r="CP17" s="5">
        <v>213</v>
      </c>
      <c r="CQ17" s="5">
        <v>230</v>
      </c>
      <c r="CR17" s="5">
        <v>263</v>
      </c>
      <c r="CS17" s="5">
        <v>235</v>
      </c>
      <c r="CT17" s="1">
        <v>269</v>
      </c>
      <c r="CU17" s="1">
        <v>264</v>
      </c>
      <c r="CV17" s="1">
        <v>310</v>
      </c>
      <c r="CW17" s="1">
        <v>245</v>
      </c>
    </row>
    <row r="18" spans="1:101" s="5" customFormat="1" ht="13">
      <c r="A18" s="26" t="s">
        <v>25</v>
      </c>
      <c r="B18" s="5">
        <v>105</v>
      </c>
      <c r="C18" s="5">
        <v>113</v>
      </c>
      <c r="D18" s="5">
        <v>127</v>
      </c>
      <c r="E18" s="5">
        <v>107</v>
      </c>
      <c r="F18" s="5">
        <v>115</v>
      </c>
      <c r="G18" s="5">
        <v>135</v>
      </c>
      <c r="H18" s="5">
        <v>157</v>
      </c>
      <c r="I18" s="5">
        <v>136</v>
      </c>
      <c r="J18" s="5">
        <v>150</v>
      </c>
      <c r="K18" s="5">
        <v>153</v>
      </c>
      <c r="L18" s="5">
        <v>137</v>
      </c>
      <c r="M18" s="5">
        <v>127</v>
      </c>
      <c r="N18" s="5">
        <v>142</v>
      </c>
      <c r="O18" s="5">
        <v>152</v>
      </c>
      <c r="P18" s="47">
        <v>127</v>
      </c>
      <c r="Q18" s="47">
        <v>158</v>
      </c>
      <c r="R18" s="47">
        <v>179</v>
      </c>
      <c r="S18" s="47">
        <v>177</v>
      </c>
      <c r="T18" s="5">
        <v>196</v>
      </c>
      <c r="U18" s="5">
        <v>177</v>
      </c>
      <c r="V18" s="5">
        <v>230</v>
      </c>
      <c r="W18" s="5">
        <v>237</v>
      </c>
      <c r="X18" s="5">
        <v>226</v>
      </c>
      <c r="Y18" s="5">
        <v>245</v>
      </c>
      <c r="Z18" s="5">
        <v>272</v>
      </c>
      <c r="AA18" s="5">
        <v>242</v>
      </c>
      <c r="AB18" s="5">
        <v>243</v>
      </c>
      <c r="AC18" s="5">
        <v>242</v>
      </c>
      <c r="AD18" s="5">
        <v>224</v>
      </c>
      <c r="AE18" s="5">
        <v>266</v>
      </c>
      <c r="AF18" s="5">
        <v>237</v>
      </c>
      <c r="AG18" s="5">
        <v>230</v>
      </c>
      <c r="AH18" s="5">
        <v>238</v>
      </c>
      <c r="AI18" s="5">
        <v>237</v>
      </c>
      <c r="AJ18" s="5">
        <v>231</v>
      </c>
      <c r="AK18" s="5">
        <v>275</v>
      </c>
      <c r="AL18" s="5">
        <v>245</v>
      </c>
      <c r="AM18" s="5">
        <v>244</v>
      </c>
      <c r="AN18" s="5">
        <v>299</v>
      </c>
      <c r="AO18" s="5">
        <v>293</v>
      </c>
      <c r="AP18" s="5">
        <v>291</v>
      </c>
      <c r="AQ18" s="5">
        <v>317</v>
      </c>
      <c r="AR18" s="5">
        <v>319</v>
      </c>
      <c r="AS18" s="5">
        <v>335</v>
      </c>
      <c r="AT18" s="5">
        <v>377</v>
      </c>
      <c r="AU18" s="5">
        <v>410</v>
      </c>
      <c r="AV18" s="1">
        <v>372</v>
      </c>
      <c r="AW18" s="1">
        <v>354</v>
      </c>
      <c r="AX18" s="1">
        <v>385</v>
      </c>
      <c r="AY18" s="1">
        <v>411</v>
      </c>
      <c r="AZ18" s="88">
        <v>10</v>
      </c>
      <c r="BA18" s="5">
        <v>12</v>
      </c>
      <c r="BB18" s="5">
        <v>3</v>
      </c>
      <c r="BC18" s="5">
        <v>19</v>
      </c>
      <c r="BD18" s="5">
        <v>19</v>
      </c>
      <c r="BE18" s="5">
        <v>27</v>
      </c>
      <c r="BF18" s="5">
        <v>50</v>
      </c>
      <c r="BG18" s="5">
        <v>38</v>
      </c>
      <c r="BH18" s="5">
        <v>48</v>
      </c>
      <c r="BI18" s="5">
        <v>74</v>
      </c>
      <c r="BJ18" s="5">
        <v>54</v>
      </c>
      <c r="BK18" s="5">
        <v>69</v>
      </c>
      <c r="BL18" s="5">
        <v>65</v>
      </c>
      <c r="BM18" s="5">
        <v>55</v>
      </c>
      <c r="BN18" s="5">
        <v>81</v>
      </c>
      <c r="BO18" s="5">
        <v>66</v>
      </c>
      <c r="BP18" s="5">
        <v>79</v>
      </c>
      <c r="BQ18" s="5">
        <v>89</v>
      </c>
      <c r="BR18" s="5">
        <v>106</v>
      </c>
      <c r="BS18" s="5">
        <v>89</v>
      </c>
      <c r="BT18" s="5">
        <v>112</v>
      </c>
      <c r="BU18" s="5">
        <v>133</v>
      </c>
      <c r="BV18" s="5">
        <v>148</v>
      </c>
      <c r="BW18" s="5">
        <v>163</v>
      </c>
      <c r="BX18" s="5">
        <v>187</v>
      </c>
      <c r="BY18" s="5">
        <v>149</v>
      </c>
      <c r="BZ18" s="5">
        <v>192</v>
      </c>
      <c r="CA18" s="5">
        <v>167</v>
      </c>
      <c r="CB18" s="5">
        <v>180</v>
      </c>
      <c r="CC18" s="5">
        <v>178</v>
      </c>
      <c r="CD18" s="5">
        <v>192</v>
      </c>
      <c r="CE18" s="5">
        <v>189</v>
      </c>
      <c r="CF18" s="5">
        <v>211</v>
      </c>
      <c r="CG18" s="5">
        <v>191</v>
      </c>
      <c r="CH18" s="5">
        <v>201</v>
      </c>
      <c r="CI18" s="5">
        <v>191</v>
      </c>
      <c r="CJ18" s="5">
        <v>196</v>
      </c>
      <c r="CK18" s="5">
        <v>239</v>
      </c>
      <c r="CL18" s="5">
        <v>304</v>
      </c>
      <c r="CM18" s="5">
        <v>300</v>
      </c>
      <c r="CN18" s="5">
        <v>287</v>
      </c>
      <c r="CO18" s="5">
        <v>323</v>
      </c>
      <c r="CP18" s="5">
        <v>346</v>
      </c>
      <c r="CQ18" s="5">
        <v>381</v>
      </c>
      <c r="CR18" s="5">
        <v>389</v>
      </c>
      <c r="CS18" s="5">
        <v>457</v>
      </c>
      <c r="CT18" s="1">
        <v>428</v>
      </c>
      <c r="CU18" s="1">
        <v>395</v>
      </c>
      <c r="CV18" s="1">
        <v>431</v>
      </c>
      <c r="CW18" s="1">
        <v>459</v>
      </c>
    </row>
    <row r="19" spans="1:101" s="5" customFormat="1" ht="13">
      <c r="A19" s="26" t="s">
        <v>26</v>
      </c>
      <c r="B19" s="5">
        <v>403</v>
      </c>
      <c r="C19" s="5">
        <v>438</v>
      </c>
      <c r="D19" s="5">
        <v>462</v>
      </c>
      <c r="E19" s="5">
        <v>473</v>
      </c>
      <c r="F19" s="5">
        <v>451</v>
      </c>
      <c r="G19" s="5">
        <v>454</v>
      </c>
      <c r="H19" s="5">
        <v>434</v>
      </c>
      <c r="I19" s="5">
        <v>389</v>
      </c>
      <c r="J19" s="5">
        <v>348</v>
      </c>
      <c r="K19" s="5">
        <v>399</v>
      </c>
      <c r="L19" s="5">
        <v>370</v>
      </c>
      <c r="M19" s="5">
        <v>384</v>
      </c>
      <c r="N19" s="5">
        <v>367</v>
      </c>
      <c r="O19" s="5">
        <v>361</v>
      </c>
      <c r="P19" s="47">
        <v>386</v>
      </c>
      <c r="Q19" s="47">
        <v>366</v>
      </c>
      <c r="R19" s="47">
        <v>360</v>
      </c>
      <c r="S19" s="47">
        <v>333</v>
      </c>
      <c r="T19" s="5">
        <v>351</v>
      </c>
      <c r="U19" s="5">
        <v>315</v>
      </c>
      <c r="V19" s="5">
        <v>354</v>
      </c>
      <c r="W19" s="5">
        <v>352</v>
      </c>
      <c r="X19" s="5">
        <v>413</v>
      </c>
      <c r="Y19" s="5">
        <v>403</v>
      </c>
      <c r="Z19" s="5">
        <v>389</v>
      </c>
      <c r="AA19" s="5">
        <v>404</v>
      </c>
      <c r="AB19" s="5">
        <v>405</v>
      </c>
      <c r="AC19" s="5">
        <v>410</v>
      </c>
      <c r="AD19" s="5">
        <v>395</v>
      </c>
      <c r="AE19" s="5">
        <v>371</v>
      </c>
      <c r="AF19" s="5">
        <v>368</v>
      </c>
      <c r="AG19" s="5">
        <v>410</v>
      </c>
      <c r="AH19" s="5">
        <v>378</v>
      </c>
      <c r="AI19" s="5">
        <v>354</v>
      </c>
      <c r="AJ19" s="5">
        <v>369</v>
      </c>
      <c r="AK19" s="5">
        <v>407</v>
      </c>
      <c r="AL19" s="5">
        <v>428</v>
      </c>
      <c r="AM19" s="5">
        <v>477</v>
      </c>
      <c r="AN19" s="5">
        <v>431</v>
      </c>
      <c r="AO19" s="5">
        <v>482</v>
      </c>
      <c r="AP19" s="5">
        <v>440</v>
      </c>
      <c r="AQ19" s="5">
        <v>572</v>
      </c>
      <c r="AR19" s="5">
        <v>506</v>
      </c>
      <c r="AS19" s="5">
        <v>549</v>
      </c>
      <c r="AT19" s="5">
        <v>657</v>
      </c>
      <c r="AU19" s="5">
        <v>608</v>
      </c>
      <c r="AV19" s="1">
        <v>669</v>
      </c>
      <c r="AW19" s="1">
        <v>729</v>
      </c>
      <c r="AX19" s="1">
        <v>728</v>
      </c>
      <c r="AY19" s="1">
        <v>701</v>
      </c>
      <c r="AZ19" s="88">
        <v>49</v>
      </c>
      <c r="BA19" s="5">
        <v>46</v>
      </c>
      <c r="BB19" s="5">
        <v>62</v>
      </c>
      <c r="BC19" s="5">
        <v>88</v>
      </c>
      <c r="BD19" s="5">
        <v>119</v>
      </c>
      <c r="BE19" s="5">
        <v>124</v>
      </c>
      <c r="BF19" s="5">
        <v>151</v>
      </c>
      <c r="BG19" s="5">
        <v>181</v>
      </c>
      <c r="BH19" s="5">
        <v>165</v>
      </c>
      <c r="BI19" s="5">
        <v>166</v>
      </c>
      <c r="BJ19" s="5">
        <v>175</v>
      </c>
      <c r="BK19" s="5">
        <v>220</v>
      </c>
      <c r="BL19" s="5">
        <v>218</v>
      </c>
      <c r="BM19" s="5">
        <v>224</v>
      </c>
      <c r="BN19" s="5">
        <v>240</v>
      </c>
      <c r="BO19" s="5">
        <v>232</v>
      </c>
      <c r="BP19" s="5">
        <v>249</v>
      </c>
      <c r="BQ19" s="5">
        <v>243</v>
      </c>
      <c r="BR19" s="5">
        <v>189</v>
      </c>
      <c r="BS19" s="5">
        <v>267</v>
      </c>
      <c r="BT19" s="5">
        <v>272</v>
      </c>
      <c r="BU19" s="5">
        <v>290</v>
      </c>
      <c r="BV19" s="5">
        <v>328</v>
      </c>
      <c r="BW19" s="5">
        <v>318</v>
      </c>
      <c r="BX19" s="5">
        <v>283</v>
      </c>
      <c r="BY19" s="5">
        <v>261</v>
      </c>
      <c r="BZ19" s="5">
        <v>297</v>
      </c>
      <c r="CA19" s="5">
        <v>337</v>
      </c>
      <c r="CB19" s="5">
        <v>292</v>
      </c>
      <c r="CC19" s="5">
        <v>307</v>
      </c>
      <c r="CD19" s="5">
        <v>356</v>
      </c>
      <c r="CE19" s="5">
        <v>357</v>
      </c>
      <c r="CF19" s="5">
        <v>403</v>
      </c>
      <c r="CG19" s="5">
        <v>385</v>
      </c>
      <c r="CH19" s="5">
        <v>477</v>
      </c>
      <c r="CI19" s="5">
        <v>484</v>
      </c>
      <c r="CJ19" s="5">
        <v>494</v>
      </c>
      <c r="CK19" s="5">
        <v>563</v>
      </c>
      <c r="CL19" s="5">
        <v>481</v>
      </c>
      <c r="CM19" s="5">
        <v>539</v>
      </c>
      <c r="CN19" s="5">
        <v>568</v>
      </c>
      <c r="CO19" s="5">
        <v>665</v>
      </c>
      <c r="CP19" s="5">
        <v>643</v>
      </c>
      <c r="CQ19" s="5">
        <v>690</v>
      </c>
      <c r="CR19" s="5">
        <v>668</v>
      </c>
      <c r="CS19" s="5">
        <v>784</v>
      </c>
      <c r="CT19" s="1">
        <v>797</v>
      </c>
      <c r="CU19" s="1">
        <v>935</v>
      </c>
      <c r="CV19" s="1">
        <v>925</v>
      </c>
      <c r="CW19" s="1">
        <v>953</v>
      </c>
    </row>
    <row r="20" spans="1:101" s="5" customFormat="1" ht="13">
      <c r="A20" s="26" t="s">
        <v>27</v>
      </c>
      <c r="B20" s="5">
        <v>1085</v>
      </c>
      <c r="C20" s="5">
        <v>1148</v>
      </c>
      <c r="D20" s="5">
        <v>1212</v>
      </c>
      <c r="E20" s="5">
        <v>1180</v>
      </c>
      <c r="F20" s="5">
        <v>1205</v>
      </c>
      <c r="G20" s="5">
        <v>1208</v>
      </c>
      <c r="H20" s="5">
        <v>1167</v>
      </c>
      <c r="I20" s="5">
        <v>1231</v>
      </c>
      <c r="J20" s="5">
        <v>1107</v>
      </c>
      <c r="K20" s="5">
        <v>1154</v>
      </c>
      <c r="L20" s="5">
        <v>1152</v>
      </c>
      <c r="M20" s="5">
        <v>1229</v>
      </c>
      <c r="N20" s="5">
        <v>1121</v>
      </c>
      <c r="O20" s="5">
        <v>1120</v>
      </c>
      <c r="P20" s="47">
        <v>1183</v>
      </c>
      <c r="Q20" s="47">
        <v>1197</v>
      </c>
      <c r="R20" s="47">
        <v>1285</v>
      </c>
      <c r="S20" s="47">
        <v>1360</v>
      </c>
      <c r="T20" s="5">
        <v>1354</v>
      </c>
      <c r="U20" s="5">
        <v>1311</v>
      </c>
      <c r="V20" s="5">
        <v>1412</v>
      </c>
      <c r="W20" s="5">
        <v>1468</v>
      </c>
      <c r="X20" s="5">
        <v>1621</v>
      </c>
      <c r="Y20" s="5">
        <v>1627</v>
      </c>
      <c r="Z20" s="5">
        <v>1699</v>
      </c>
      <c r="AA20" s="5">
        <v>1771</v>
      </c>
      <c r="AB20" s="5">
        <v>1830</v>
      </c>
      <c r="AC20" s="5">
        <v>1704</v>
      </c>
      <c r="AD20" s="5">
        <v>1707</v>
      </c>
      <c r="AE20" s="5">
        <v>1599</v>
      </c>
      <c r="AF20" s="5">
        <v>1591</v>
      </c>
      <c r="AG20" s="5">
        <v>1552</v>
      </c>
      <c r="AH20" s="5">
        <v>1403</v>
      </c>
      <c r="AI20" s="5">
        <v>1446</v>
      </c>
      <c r="AJ20" s="5">
        <v>1550</v>
      </c>
      <c r="AK20" s="5">
        <v>1656</v>
      </c>
      <c r="AL20" s="5">
        <v>1752</v>
      </c>
      <c r="AM20" s="5">
        <v>2016</v>
      </c>
      <c r="AN20" s="5">
        <v>2096</v>
      </c>
      <c r="AO20" s="5">
        <v>2041</v>
      </c>
      <c r="AP20" s="5">
        <v>1946</v>
      </c>
      <c r="AQ20" s="5">
        <v>2036</v>
      </c>
      <c r="AR20" s="5">
        <v>2295</v>
      </c>
      <c r="AS20" s="5">
        <v>2315</v>
      </c>
      <c r="AT20" s="5">
        <v>2462</v>
      </c>
      <c r="AU20" s="5">
        <v>2567</v>
      </c>
      <c r="AV20" s="1">
        <v>2528</v>
      </c>
      <c r="AW20" s="1">
        <v>2595</v>
      </c>
      <c r="AX20" s="1">
        <v>2664</v>
      </c>
      <c r="AY20" s="1">
        <v>2720</v>
      </c>
      <c r="AZ20" s="88">
        <v>156</v>
      </c>
      <c r="BA20" s="5">
        <v>210</v>
      </c>
      <c r="BB20" s="5">
        <v>245</v>
      </c>
      <c r="BC20" s="5">
        <v>296</v>
      </c>
      <c r="BD20" s="5">
        <v>281</v>
      </c>
      <c r="BE20" s="5">
        <v>333</v>
      </c>
      <c r="BF20" s="5">
        <v>335</v>
      </c>
      <c r="BG20" s="5">
        <v>364</v>
      </c>
      <c r="BH20" s="5">
        <v>395</v>
      </c>
      <c r="BI20" s="5">
        <v>458</v>
      </c>
      <c r="BJ20" s="5">
        <v>508</v>
      </c>
      <c r="BK20" s="5">
        <v>524</v>
      </c>
      <c r="BL20" s="5">
        <v>541</v>
      </c>
      <c r="BM20" s="5">
        <v>556</v>
      </c>
      <c r="BN20" s="5">
        <v>628</v>
      </c>
      <c r="BO20" s="5">
        <v>642</v>
      </c>
      <c r="BP20" s="5">
        <v>693</v>
      </c>
      <c r="BQ20" s="5">
        <v>719</v>
      </c>
      <c r="BR20" s="5">
        <v>713</v>
      </c>
      <c r="BS20" s="5">
        <v>802</v>
      </c>
      <c r="BT20" s="5">
        <v>856</v>
      </c>
      <c r="BU20" s="5">
        <v>836</v>
      </c>
      <c r="BV20" s="5">
        <v>860</v>
      </c>
      <c r="BW20" s="5">
        <v>919</v>
      </c>
      <c r="BX20" s="5">
        <v>1033</v>
      </c>
      <c r="BY20" s="5">
        <v>956</v>
      </c>
      <c r="BZ20" s="5">
        <v>1034</v>
      </c>
      <c r="CA20" s="5">
        <v>1106</v>
      </c>
      <c r="CB20" s="5">
        <v>1108</v>
      </c>
      <c r="CC20" s="5">
        <v>1109</v>
      </c>
      <c r="CD20" s="5">
        <v>1102</v>
      </c>
      <c r="CE20" s="5">
        <v>1200</v>
      </c>
      <c r="CF20" s="5">
        <v>1157</v>
      </c>
      <c r="CG20" s="5">
        <v>1170</v>
      </c>
      <c r="CH20" s="5">
        <v>1202</v>
      </c>
      <c r="CI20" s="5">
        <v>1318</v>
      </c>
      <c r="CJ20" s="5">
        <v>1451</v>
      </c>
      <c r="CK20" s="5">
        <v>1603</v>
      </c>
      <c r="CL20" s="5">
        <v>1703</v>
      </c>
      <c r="CM20" s="5">
        <v>1778</v>
      </c>
      <c r="CN20" s="5">
        <v>1673</v>
      </c>
      <c r="CO20" s="5">
        <v>1757</v>
      </c>
      <c r="CP20" s="5">
        <v>1885</v>
      </c>
      <c r="CQ20" s="5">
        <v>2035</v>
      </c>
      <c r="CR20" s="5">
        <v>2230</v>
      </c>
      <c r="CS20" s="5">
        <v>2288</v>
      </c>
      <c r="CT20" s="1">
        <v>2302</v>
      </c>
      <c r="CU20" s="1">
        <v>2353</v>
      </c>
      <c r="CV20" s="1">
        <v>2370</v>
      </c>
      <c r="CW20" s="1">
        <v>2576</v>
      </c>
    </row>
    <row r="21" spans="1:101" s="5" customFormat="1" ht="13">
      <c r="A21" s="26" t="s">
        <v>28</v>
      </c>
      <c r="B21" s="5">
        <v>284</v>
      </c>
      <c r="C21" s="5">
        <v>337</v>
      </c>
      <c r="D21" s="5">
        <v>302</v>
      </c>
      <c r="E21" s="5">
        <v>355</v>
      </c>
      <c r="F21" s="5">
        <v>433</v>
      </c>
      <c r="G21" s="5">
        <v>398</v>
      </c>
      <c r="H21" s="5">
        <v>422</v>
      </c>
      <c r="I21" s="5">
        <v>424</v>
      </c>
      <c r="J21" s="5">
        <v>407</v>
      </c>
      <c r="K21" s="5">
        <v>424</v>
      </c>
      <c r="L21" s="5">
        <v>405</v>
      </c>
      <c r="M21" s="5">
        <v>418</v>
      </c>
      <c r="N21" s="5">
        <v>408</v>
      </c>
      <c r="O21" s="5">
        <v>416</v>
      </c>
      <c r="P21" s="47">
        <v>452</v>
      </c>
      <c r="Q21" s="47">
        <v>424</v>
      </c>
      <c r="R21" s="47">
        <v>457</v>
      </c>
      <c r="S21" s="47">
        <v>440</v>
      </c>
      <c r="T21" s="5">
        <v>487</v>
      </c>
      <c r="U21" s="5">
        <v>490</v>
      </c>
      <c r="V21" s="5">
        <v>530</v>
      </c>
      <c r="W21" s="5">
        <v>536</v>
      </c>
      <c r="X21" s="5">
        <v>587</v>
      </c>
      <c r="Y21" s="5">
        <v>604</v>
      </c>
      <c r="Z21" s="5">
        <v>612</v>
      </c>
      <c r="AA21" s="5">
        <v>662</v>
      </c>
      <c r="AB21" s="5">
        <v>636</v>
      </c>
      <c r="AC21" s="5">
        <v>669</v>
      </c>
      <c r="AD21" s="5">
        <v>609</v>
      </c>
      <c r="AE21" s="5">
        <v>640</v>
      </c>
      <c r="AF21" s="5">
        <v>642</v>
      </c>
      <c r="AG21" s="5">
        <v>604</v>
      </c>
      <c r="AH21" s="5">
        <v>664</v>
      </c>
      <c r="AI21" s="5">
        <v>650</v>
      </c>
      <c r="AJ21" s="5">
        <v>658</v>
      </c>
      <c r="AK21" s="5">
        <v>786</v>
      </c>
      <c r="AL21" s="5">
        <v>787</v>
      </c>
      <c r="AM21" s="5">
        <v>858</v>
      </c>
      <c r="AN21" s="5">
        <v>822</v>
      </c>
      <c r="AO21" s="5">
        <v>829</v>
      </c>
      <c r="AP21" s="5">
        <v>1092</v>
      </c>
      <c r="AQ21" s="5">
        <v>1275</v>
      </c>
      <c r="AR21" s="5">
        <v>994</v>
      </c>
      <c r="AS21" s="5">
        <v>1150</v>
      </c>
      <c r="AT21" s="5">
        <v>1196</v>
      </c>
      <c r="AU21" s="5">
        <v>1105</v>
      </c>
      <c r="AV21" s="1">
        <v>1078</v>
      </c>
      <c r="AW21" s="1">
        <v>1177</v>
      </c>
      <c r="AX21" s="1">
        <v>1213</v>
      </c>
      <c r="AY21" s="1">
        <v>1156</v>
      </c>
      <c r="AZ21" s="88">
        <v>22</v>
      </c>
      <c r="BA21" s="5">
        <v>35</v>
      </c>
      <c r="BB21" s="5">
        <v>29</v>
      </c>
      <c r="BC21" s="5">
        <v>52</v>
      </c>
      <c r="BD21" s="5">
        <v>68</v>
      </c>
      <c r="BE21" s="5">
        <v>81</v>
      </c>
      <c r="BF21" s="5">
        <v>112</v>
      </c>
      <c r="BG21" s="5">
        <v>92</v>
      </c>
      <c r="BH21" s="5">
        <v>131</v>
      </c>
      <c r="BI21" s="5">
        <v>131</v>
      </c>
      <c r="BJ21" s="5">
        <v>145</v>
      </c>
      <c r="BK21" s="5">
        <v>171</v>
      </c>
      <c r="BL21" s="5">
        <v>166</v>
      </c>
      <c r="BM21" s="5">
        <v>211</v>
      </c>
      <c r="BN21" s="5">
        <v>204</v>
      </c>
      <c r="BO21" s="5">
        <v>223</v>
      </c>
      <c r="BP21" s="5">
        <v>232</v>
      </c>
      <c r="BQ21" s="5">
        <v>247</v>
      </c>
      <c r="BR21" s="5">
        <v>259</v>
      </c>
      <c r="BS21" s="5">
        <v>274</v>
      </c>
      <c r="BT21" s="5">
        <v>309</v>
      </c>
      <c r="BU21" s="5">
        <v>338</v>
      </c>
      <c r="BV21" s="5">
        <v>376</v>
      </c>
      <c r="BW21" s="5">
        <v>394</v>
      </c>
      <c r="BX21" s="5">
        <v>394</v>
      </c>
      <c r="BY21" s="5">
        <v>415</v>
      </c>
      <c r="BZ21" s="5">
        <v>425</v>
      </c>
      <c r="CA21" s="5">
        <v>476</v>
      </c>
      <c r="CB21" s="5">
        <v>474</v>
      </c>
      <c r="CC21" s="5">
        <v>484</v>
      </c>
      <c r="CD21" s="5">
        <v>480</v>
      </c>
      <c r="CE21" s="5">
        <v>490</v>
      </c>
      <c r="CF21" s="5">
        <v>503</v>
      </c>
      <c r="CG21" s="5">
        <v>519</v>
      </c>
      <c r="CH21" s="5">
        <v>591</v>
      </c>
      <c r="CI21" s="5">
        <v>718</v>
      </c>
      <c r="CJ21" s="5">
        <v>784</v>
      </c>
      <c r="CK21" s="5">
        <v>785</v>
      </c>
      <c r="CL21" s="5">
        <v>838</v>
      </c>
      <c r="CM21" s="5">
        <v>840</v>
      </c>
      <c r="CN21" s="5">
        <v>893</v>
      </c>
      <c r="CO21" s="5">
        <v>1018</v>
      </c>
      <c r="CP21" s="5">
        <v>1042</v>
      </c>
      <c r="CQ21" s="5">
        <v>1033</v>
      </c>
      <c r="CR21" s="5">
        <v>1137</v>
      </c>
      <c r="CS21" s="5">
        <v>1133</v>
      </c>
      <c r="CT21" s="1">
        <v>1153</v>
      </c>
      <c r="CU21" s="1">
        <v>1214</v>
      </c>
      <c r="CV21" s="1">
        <v>1159</v>
      </c>
      <c r="CW21" s="1">
        <v>1231</v>
      </c>
    </row>
    <row r="22" spans="1:101" s="48" customFormat="1" ht="13">
      <c r="A22" s="25" t="s">
        <v>29</v>
      </c>
      <c r="B22" s="48">
        <v>130</v>
      </c>
      <c r="C22" s="48">
        <v>94</v>
      </c>
      <c r="D22" s="48">
        <v>115</v>
      </c>
      <c r="E22" s="48">
        <v>119</v>
      </c>
      <c r="F22" s="48">
        <v>93</v>
      </c>
      <c r="G22" s="48">
        <v>91</v>
      </c>
      <c r="H22" s="48">
        <v>107</v>
      </c>
      <c r="I22" s="48">
        <v>94</v>
      </c>
      <c r="J22" s="48">
        <v>90</v>
      </c>
      <c r="K22" s="48">
        <v>96</v>
      </c>
      <c r="L22" s="48">
        <v>101</v>
      </c>
      <c r="M22" s="48">
        <v>76</v>
      </c>
      <c r="N22" s="48">
        <v>85</v>
      </c>
      <c r="O22" s="48">
        <v>89</v>
      </c>
      <c r="P22" s="49">
        <v>74</v>
      </c>
      <c r="Q22" s="49">
        <v>72</v>
      </c>
      <c r="R22" s="49">
        <v>67</v>
      </c>
      <c r="S22" s="49">
        <v>69</v>
      </c>
      <c r="T22" s="48">
        <v>87</v>
      </c>
      <c r="U22" s="48">
        <v>68</v>
      </c>
      <c r="V22" s="48">
        <v>71</v>
      </c>
      <c r="W22" s="48">
        <v>71</v>
      </c>
      <c r="X22" s="48">
        <v>63</v>
      </c>
      <c r="Y22" s="48">
        <v>64</v>
      </c>
      <c r="Z22" s="48">
        <v>76</v>
      </c>
      <c r="AA22" s="48">
        <v>89</v>
      </c>
      <c r="AB22" s="48">
        <v>78</v>
      </c>
      <c r="AC22" s="48">
        <v>83</v>
      </c>
      <c r="AD22" s="48">
        <v>97</v>
      </c>
      <c r="AE22" s="48">
        <v>77</v>
      </c>
      <c r="AF22" s="48">
        <v>82</v>
      </c>
      <c r="AG22" s="48">
        <v>73</v>
      </c>
      <c r="AH22" s="48">
        <v>86</v>
      </c>
      <c r="AI22" s="48">
        <v>92</v>
      </c>
      <c r="AJ22" s="48">
        <v>81</v>
      </c>
      <c r="AK22" s="48">
        <v>114</v>
      </c>
      <c r="AL22" s="48">
        <v>112</v>
      </c>
      <c r="AM22" s="48">
        <v>110</v>
      </c>
      <c r="AN22" s="48">
        <v>112</v>
      </c>
      <c r="AO22" s="48">
        <v>96</v>
      </c>
      <c r="AP22" s="48">
        <v>94</v>
      </c>
      <c r="AQ22" s="48">
        <v>98</v>
      </c>
      <c r="AR22" s="48">
        <v>97</v>
      </c>
      <c r="AS22" s="48">
        <v>92</v>
      </c>
      <c r="AT22" s="48">
        <v>90</v>
      </c>
      <c r="AU22" s="48">
        <v>112</v>
      </c>
      <c r="AV22" s="6">
        <v>126</v>
      </c>
      <c r="AW22" s="6">
        <v>140</v>
      </c>
      <c r="AX22" s="6">
        <v>121</v>
      </c>
      <c r="AY22" s="6">
        <v>112</v>
      </c>
      <c r="AZ22" s="89">
        <v>13</v>
      </c>
      <c r="BA22" s="48">
        <v>8</v>
      </c>
      <c r="BB22" s="48">
        <v>19</v>
      </c>
      <c r="BC22" s="48">
        <v>12</v>
      </c>
      <c r="BD22" s="48">
        <v>16</v>
      </c>
      <c r="BE22" s="48">
        <v>19</v>
      </c>
      <c r="BF22" s="48">
        <v>14</v>
      </c>
      <c r="BG22" s="48">
        <v>27</v>
      </c>
      <c r="BH22" s="48">
        <v>27</v>
      </c>
      <c r="BI22" s="48">
        <v>19</v>
      </c>
      <c r="BJ22" s="48">
        <v>44</v>
      </c>
      <c r="BK22" s="48">
        <v>31</v>
      </c>
      <c r="BL22" s="48">
        <v>45</v>
      </c>
      <c r="BM22" s="48">
        <v>39</v>
      </c>
      <c r="BN22" s="48">
        <v>39</v>
      </c>
      <c r="BO22" s="48">
        <v>43</v>
      </c>
      <c r="BP22" s="48">
        <v>46</v>
      </c>
      <c r="BQ22" s="48">
        <v>41</v>
      </c>
      <c r="BR22" s="48">
        <v>44</v>
      </c>
      <c r="BS22" s="48">
        <v>44</v>
      </c>
      <c r="BT22" s="48">
        <v>57</v>
      </c>
      <c r="BU22" s="48">
        <v>39</v>
      </c>
      <c r="BV22" s="48">
        <v>53</v>
      </c>
      <c r="BW22" s="48">
        <v>35</v>
      </c>
      <c r="BX22" s="48">
        <v>51</v>
      </c>
      <c r="BY22" s="48">
        <v>70</v>
      </c>
      <c r="BZ22" s="48">
        <v>42</v>
      </c>
      <c r="CA22" s="48">
        <v>59</v>
      </c>
      <c r="CB22" s="48">
        <v>61</v>
      </c>
      <c r="CC22" s="48">
        <v>62</v>
      </c>
      <c r="CD22" s="48">
        <v>52</v>
      </c>
      <c r="CE22" s="48">
        <v>59</v>
      </c>
      <c r="CF22" s="48">
        <v>60</v>
      </c>
      <c r="CG22" s="48">
        <v>68</v>
      </c>
      <c r="CH22" s="48">
        <v>88</v>
      </c>
      <c r="CI22" s="48">
        <v>99</v>
      </c>
      <c r="CJ22" s="48">
        <v>90</v>
      </c>
      <c r="CK22" s="48">
        <v>118</v>
      </c>
      <c r="CL22" s="48">
        <v>109</v>
      </c>
      <c r="CM22" s="48">
        <v>105</v>
      </c>
      <c r="CN22" s="48">
        <v>64</v>
      </c>
      <c r="CO22" s="48">
        <v>80</v>
      </c>
      <c r="CP22" s="48">
        <v>82</v>
      </c>
      <c r="CQ22" s="48">
        <v>82</v>
      </c>
      <c r="CR22" s="48">
        <v>75</v>
      </c>
      <c r="CS22" s="48">
        <v>89</v>
      </c>
      <c r="CT22" s="6">
        <v>103</v>
      </c>
      <c r="CU22" s="6">
        <v>119</v>
      </c>
      <c r="CV22" s="6">
        <v>88</v>
      </c>
      <c r="CW22" s="6">
        <v>108</v>
      </c>
    </row>
    <row r="23" spans="1:101">
      <c r="A23" s="37" t="s">
        <v>210</v>
      </c>
      <c r="B23" s="38">
        <f t="shared" ref="B23:BV23" si="24">SUM(B25:B37)</f>
        <v>5212</v>
      </c>
      <c r="C23" s="38">
        <f t="shared" si="24"/>
        <v>5556</v>
      </c>
      <c r="D23" s="38">
        <f t="shared" si="24"/>
        <v>5763</v>
      </c>
      <c r="E23" s="38">
        <f t="shared" si="24"/>
        <v>5964</v>
      </c>
      <c r="F23" s="38">
        <f t="shared" si="24"/>
        <v>5764</v>
      </c>
      <c r="G23" s="38">
        <f t="shared" si="24"/>
        <v>5378</v>
      </c>
      <c r="H23" s="38">
        <f t="shared" si="24"/>
        <v>5389</v>
      </c>
      <c r="I23" s="38">
        <f t="shared" si="24"/>
        <v>5200</v>
      </c>
      <c r="J23" s="38">
        <f t="shared" si="24"/>
        <v>4837</v>
      </c>
      <c r="K23" s="38">
        <f t="shared" si="24"/>
        <v>4874</v>
      </c>
      <c r="L23" s="38">
        <f t="shared" si="24"/>
        <v>4927</v>
      </c>
      <c r="M23" s="38">
        <f t="shared" si="24"/>
        <v>4989</v>
      </c>
      <c r="N23" s="38">
        <f t="shared" si="24"/>
        <v>4800</v>
      </c>
      <c r="O23" s="38">
        <f t="shared" si="24"/>
        <v>4909</v>
      </c>
      <c r="P23" s="38">
        <f t="shared" si="24"/>
        <v>4795</v>
      </c>
      <c r="Q23" s="38">
        <f t="shared" si="24"/>
        <v>4665</v>
      </c>
      <c r="R23" s="38">
        <f t="shared" si="24"/>
        <v>4761</v>
      </c>
      <c r="S23" s="38">
        <f t="shared" si="24"/>
        <v>4786</v>
      </c>
      <c r="T23" s="38">
        <f t="shared" si="24"/>
        <v>4856</v>
      </c>
      <c r="U23" s="38">
        <f t="shared" si="24"/>
        <v>4868</v>
      </c>
      <c r="V23" s="38">
        <f t="shared" si="24"/>
        <v>5296</v>
      </c>
      <c r="W23" s="38">
        <f t="shared" si="24"/>
        <v>5203</v>
      </c>
      <c r="X23" s="38">
        <f t="shared" si="24"/>
        <v>5256</v>
      </c>
      <c r="Y23" s="38">
        <f t="shared" si="24"/>
        <v>5444</v>
      </c>
      <c r="Z23" s="38">
        <f t="shared" si="24"/>
        <v>5557</v>
      </c>
      <c r="AA23" s="38">
        <f t="shared" si="24"/>
        <v>5682</v>
      </c>
      <c r="AB23" s="38">
        <f t="shared" si="24"/>
        <v>5576</v>
      </c>
      <c r="AC23" s="38">
        <f t="shared" si="24"/>
        <v>5925</v>
      </c>
      <c r="AD23" s="38">
        <f t="shared" si="24"/>
        <v>5622</v>
      </c>
      <c r="AE23" s="38">
        <f t="shared" si="24"/>
        <v>5405</v>
      </c>
      <c r="AF23" s="38">
        <f t="shared" si="24"/>
        <v>5252</v>
      </c>
      <c r="AG23" s="38">
        <f t="shared" si="24"/>
        <v>5219</v>
      </c>
      <c r="AH23" s="38">
        <f t="shared" si="24"/>
        <v>4985</v>
      </c>
      <c r="AI23" s="38">
        <f t="shared" si="24"/>
        <v>5193</v>
      </c>
      <c r="AJ23" s="38">
        <f t="shared" si="24"/>
        <v>5356</v>
      </c>
      <c r="AK23" s="38">
        <f t="shared" si="24"/>
        <v>5572</v>
      </c>
      <c r="AL23" s="38">
        <f t="shared" si="24"/>
        <v>6056</v>
      </c>
      <c r="AM23" s="38">
        <f t="shared" si="24"/>
        <v>6300</v>
      </c>
      <c r="AN23" s="38">
        <f t="shared" si="24"/>
        <v>6620</v>
      </c>
      <c r="AO23" s="38">
        <f t="shared" si="24"/>
        <v>6689</v>
      </c>
      <c r="AP23" s="38">
        <f t="shared" ref="AP23:AQ23" si="25">SUM(AP25:AP37)</f>
        <v>6287</v>
      </c>
      <c r="AQ23" s="38">
        <f t="shared" si="25"/>
        <v>6222</v>
      </c>
      <c r="AR23" s="38">
        <f t="shared" ref="AR23:AS23" si="26">SUM(AR25:AR37)</f>
        <v>6863</v>
      </c>
      <c r="AS23" s="38">
        <f t="shared" si="26"/>
        <v>6995</v>
      </c>
      <c r="AT23" s="38">
        <f t="shared" ref="AT23:AY23" si="27">SUM(AT25:AT37)</f>
        <v>6931</v>
      </c>
      <c r="AU23" s="38">
        <f t="shared" si="27"/>
        <v>7141</v>
      </c>
      <c r="AV23" s="38">
        <f t="shared" si="27"/>
        <v>6910</v>
      </c>
      <c r="AW23" s="38">
        <f t="shared" si="27"/>
        <v>6951</v>
      </c>
      <c r="AX23" s="38">
        <f t="shared" si="27"/>
        <v>7127</v>
      </c>
      <c r="AY23" s="38">
        <f t="shared" si="27"/>
        <v>7470</v>
      </c>
      <c r="AZ23" s="60">
        <f t="shared" si="24"/>
        <v>730</v>
      </c>
      <c r="BA23" s="38">
        <f t="shared" si="24"/>
        <v>819</v>
      </c>
      <c r="BB23" s="38">
        <f t="shared" si="24"/>
        <v>932</v>
      </c>
      <c r="BC23" s="38">
        <f t="shared" si="24"/>
        <v>1160</v>
      </c>
      <c r="BD23" s="38">
        <f t="shared" si="24"/>
        <v>1136</v>
      </c>
      <c r="BE23" s="38">
        <f t="shared" si="24"/>
        <v>1312</v>
      </c>
      <c r="BF23" s="38">
        <f t="shared" si="24"/>
        <v>1363</v>
      </c>
      <c r="BG23" s="38">
        <f t="shared" si="24"/>
        <v>1440</v>
      </c>
      <c r="BH23" s="38">
        <f t="shared" si="24"/>
        <v>1501</v>
      </c>
      <c r="BI23" s="38">
        <f t="shared" si="24"/>
        <v>1643</v>
      </c>
      <c r="BJ23" s="38">
        <f t="shared" si="24"/>
        <v>1878</v>
      </c>
      <c r="BK23" s="38">
        <f t="shared" si="24"/>
        <v>2036</v>
      </c>
      <c r="BL23" s="38">
        <f t="shared" si="24"/>
        <v>2064</v>
      </c>
      <c r="BM23" s="38">
        <f t="shared" si="24"/>
        <v>2207</v>
      </c>
      <c r="BN23" s="38">
        <f t="shared" si="24"/>
        <v>2183</v>
      </c>
      <c r="BO23" s="38">
        <f t="shared" si="24"/>
        <v>2167</v>
      </c>
      <c r="BP23" s="38">
        <f t="shared" si="24"/>
        <v>2314</v>
      </c>
      <c r="BQ23" s="38">
        <f t="shared" si="24"/>
        <v>2302</v>
      </c>
      <c r="BR23" s="38">
        <f t="shared" si="24"/>
        <v>2407</v>
      </c>
      <c r="BS23" s="38">
        <f t="shared" si="24"/>
        <v>2557</v>
      </c>
      <c r="BT23" s="38">
        <f t="shared" si="24"/>
        <v>2761</v>
      </c>
      <c r="BU23" s="38">
        <f t="shared" si="24"/>
        <v>2789</v>
      </c>
      <c r="BV23" s="38">
        <f t="shared" si="24"/>
        <v>2893</v>
      </c>
      <c r="BW23" s="38">
        <f t="shared" ref="BW23:CM23" si="28">SUM(BW25:BW37)</f>
        <v>3162</v>
      </c>
      <c r="BX23" s="38">
        <f t="shared" si="28"/>
        <v>3273</v>
      </c>
      <c r="BY23" s="38">
        <f t="shared" si="28"/>
        <v>3554</v>
      </c>
      <c r="BZ23" s="38">
        <f t="shared" si="28"/>
        <v>3526</v>
      </c>
      <c r="CA23" s="38">
        <f t="shared" si="28"/>
        <v>3888</v>
      </c>
      <c r="CB23" s="38">
        <f t="shared" si="28"/>
        <v>3814</v>
      </c>
      <c r="CC23" s="38">
        <f t="shared" si="28"/>
        <v>3930</v>
      </c>
      <c r="CD23" s="38">
        <f t="shared" si="28"/>
        <v>4027</v>
      </c>
      <c r="CE23" s="38">
        <f t="shared" si="28"/>
        <v>4274</v>
      </c>
      <c r="CF23" s="38">
        <f t="shared" si="28"/>
        <v>4253</v>
      </c>
      <c r="CG23" s="38">
        <f t="shared" si="28"/>
        <v>4472</v>
      </c>
      <c r="CH23" s="38">
        <f t="shared" si="28"/>
        <v>4616</v>
      </c>
      <c r="CI23" s="38">
        <f t="shared" si="28"/>
        <v>5186</v>
      </c>
      <c r="CJ23" s="38">
        <f t="shared" si="28"/>
        <v>5381</v>
      </c>
      <c r="CK23" s="38">
        <f t="shared" si="28"/>
        <v>5960</v>
      </c>
      <c r="CL23" s="38">
        <f t="shared" si="28"/>
        <v>6179</v>
      </c>
      <c r="CM23" s="38">
        <f t="shared" si="28"/>
        <v>6504</v>
      </c>
      <c r="CN23" s="38">
        <f t="shared" ref="CN23:CO23" si="29">SUM(CN25:CN37)</f>
        <v>5991</v>
      </c>
      <c r="CO23" s="38">
        <f t="shared" si="29"/>
        <v>5967</v>
      </c>
      <c r="CP23" s="38">
        <f t="shared" ref="CP23:CQ23" si="30">SUM(CP25:CP37)</f>
        <v>6375</v>
      </c>
      <c r="CQ23" s="38">
        <f t="shared" si="30"/>
        <v>6896</v>
      </c>
      <c r="CR23" s="38">
        <f t="shared" ref="CR23:CW23" si="31">SUM(CR25:CR37)</f>
        <v>6780</v>
      </c>
      <c r="CS23" s="38">
        <f t="shared" si="31"/>
        <v>6985</v>
      </c>
      <c r="CT23" s="38">
        <f t="shared" si="31"/>
        <v>6677</v>
      </c>
      <c r="CU23" s="38">
        <f t="shared" si="31"/>
        <v>6714</v>
      </c>
      <c r="CV23" s="38">
        <f t="shared" si="31"/>
        <v>6962</v>
      </c>
      <c r="CW23" s="38">
        <f t="shared" si="31"/>
        <v>7406</v>
      </c>
    </row>
    <row r="24" spans="1:101">
      <c r="A24" s="39" t="s">
        <v>213</v>
      </c>
      <c r="B24" s="40">
        <f t="shared" ref="B24:BV24" si="32">(B23/B4)*100</f>
        <v>20.140660020094288</v>
      </c>
      <c r="C24" s="40">
        <f t="shared" si="32"/>
        <v>20.195558140380214</v>
      </c>
      <c r="D24" s="40">
        <f t="shared" si="32"/>
        <v>20.524235193561026</v>
      </c>
      <c r="E24" s="40">
        <f t="shared" si="32"/>
        <v>20.880890693928997</v>
      </c>
      <c r="F24" s="40">
        <f t="shared" si="32"/>
        <v>21.077266244926317</v>
      </c>
      <c r="G24" s="40">
        <f t="shared" si="32"/>
        <v>20.067164179104477</v>
      </c>
      <c r="H24" s="40">
        <f t="shared" si="32"/>
        <v>20.538913026907537</v>
      </c>
      <c r="I24" s="40">
        <f t="shared" si="32"/>
        <v>20.694870060094718</v>
      </c>
      <c r="J24" s="40">
        <f t="shared" si="32"/>
        <v>20.453296122457608</v>
      </c>
      <c r="K24" s="40">
        <f t="shared" si="32"/>
        <v>20.717504038085522</v>
      </c>
      <c r="L24" s="40">
        <f t="shared" si="32"/>
        <v>21.489009071877181</v>
      </c>
      <c r="M24" s="40">
        <f t="shared" si="32"/>
        <v>21.978941803603682</v>
      </c>
      <c r="N24" s="40">
        <f t="shared" si="32"/>
        <v>21.614806142207414</v>
      </c>
      <c r="O24" s="40">
        <f t="shared" si="32"/>
        <v>22.423716426091723</v>
      </c>
      <c r="P24" s="40">
        <f t="shared" si="32"/>
        <v>21.748990792398061</v>
      </c>
      <c r="Q24" s="40">
        <f t="shared" si="32"/>
        <v>21.51355838406198</v>
      </c>
      <c r="R24" s="40">
        <f t="shared" si="32"/>
        <v>21.836444525982664</v>
      </c>
      <c r="S24" s="40">
        <f t="shared" si="32"/>
        <v>21.712108152247879</v>
      </c>
      <c r="T24" s="40">
        <f t="shared" si="32"/>
        <v>21.509567682494684</v>
      </c>
      <c r="U24" s="40">
        <f t="shared" si="32"/>
        <v>21.450603683793073</v>
      </c>
      <c r="V24" s="40">
        <f t="shared" si="32"/>
        <v>21.720050855103963</v>
      </c>
      <c r="W24" s="40">
        <f t="shared" si="32"/>
        <v>21.040074406567189</v>
      </c>
      <c r="X24" s="40">
        <f t="shared" si="32"/>
        <v>20.57948316366484</v>
      </c>
      <c r="Y24" s="40">
        <f t="shared" si="32"/>
        <v>20.898272552783109</v>
      </c>
      <c r="Z24" s="40">
        <f t="shared" si="32"/>
        <v>20.951626889869171</v>
      </c>
      <c r="AA24" s="40">
        <f t="shared" si="32"/>
        <v>21.137606487853873</v>
      </c>
      <c r="AB24" s="40">
        <f t="shared" si="32"/>
        <v>20.815290428550099</v>
      </c>
      <c r="AC24" s="40">
        <f t="shared" si="32"/>
        <v>21.856210114722046</v>
      </c>
      <c r="AD24" s="40">
        <f t="shared" si="32"/>
        <v>21.084608460846084</v>
      </c>
      <c r="AE24" s="40">
        <f t="shared" si="32"/>
        <v>21.494472281873854</v>
      </c>
      <c r="AF24" s="40">
        <f t="shared" si="32"/>
        <v>20.984497362953491</v>
      </c>
      <c r="AG24" s="40">
        <f t="shared" si="32"/>
        <v>21.105629246198639</v>
      </c>
      <c r="AH24" s="40">
        <f t="shared" si="32"/>
        <v>21.02665766829762</v>
      </c>
      <c r="AI24" s="40">
        <f t="shared" si="32"/>
        <v>21.32561291117408</v>
      </c>
      <c r="AJ24" s="40">
        <f t="shared" si="32"/>
        <v>21.165777514325232</v>
      </c>
      <c r="AK24" s="40">
        <f t="shared" si="32"/>
        <v>20.657694731768807</v>
      </c>
      <c r="AL24" s="40">
        <f t="shared" si="32"/>
        <v>21.226778829302489</v>
      </c>
      <c r="AM24" s="40">
        <f t="shared" si="32"/>
        <v>20.825757826187562</v>
      </c>
      <c r="AN24" s="40">
        <f t="shared" si="32"/>
        <v>21.725575137015525</v>
      </c>
      <c r="AO24" s="40">
        <f t="shared" si="32"/>
        <v>22.010529779532742</v>
      </c>
      <c r="AP24" s="40">
        <f t="shared" ref="AP24:AQ24" si="33">(AP23/AP4)*100</f>
        <v>21.746800415081285</v>
      </c>
      <c r="AQ24" s="40">
        <f t="shared" si="33"/>
        <v>20.93962441946557</v>
      </c>
      <c r="AR24" s="40">
        <f t="shared" ref="AR24:AS24" si="34">(AR23/AR4)*100</f>
        <v>22.431036736828343</v>
      </c>
      <c r="AS24" s="40">
        <f t="shared" si="34"/>
        <v>21.957497567253665</v>
      </c>
      <c r="AT24" s="40">
        <f t="shared" ref="AT24:AY24" si="35">(AT23/AT4)*100</f>
        <v>21.178879178634723</v>
      </c>
      <c r="AU24" s="40">
        <f t="shared" si="35"/>
        <v>21.409725969898663</v>
      </c>
      <c r="AV24" s="40">
        <f t="shared" si="35"/>
        <v>20.640420574705775</v>
      </c>
      <c r="AW24" s="40">
        <f t="shared" si="35"/>
        <v>20.464582229288112</v>
      </c>
      <c r="AX24" s="40">
        <f t="shared" si="35"/>
        <v>20.611967492842062</v>
      </c>
      <c r="AY24" s="40">
        <f t="shared" si="35"/>
        <v>21.296005929811557</v>
      </c>
      <c r="AZ24" s="61">
        <f t="shared" si="32"/>
        <v>18.360160965794769</v>
      </c>
      <c r="BA24" s="40">
        <f t="shared" si="32"/>
        <v>17.893816910640155</v>
      </c>
      <c r="BB24" s="40">
        <f t="shared" si="32"/>
        <v>17.674947847525129</v>
      </c>
      <c r="BC24" s="40">
        <f t="shared" si="32"/>
        <v>18.691588785046729</v>
      </c>
      <c r="BD24" s="40">
        <f t="shared" si="32"/>
        <v>17.609672918927298</v>
      </c>
      <c r="BE24" s="40">
        <f t="shared" si="32"/>
        <v>18.056702449766032</v>
      </c>
      <c r="BF24" s="40">
        <f t="shared" si="32"/>
        <v>17.481082467615749</v>
      </c>
      <c r="BG24" s="40">
        <f t="shared" si="32"/>
        <v>17.799752781211371</v>
      </c>
      <c r="BH24" s="40">
        <f t="shared" si="32"/>
        <v>17.715095007671426</v>
      </c>
      <c r="BI24" s="40">
        <f t="shared" si="32"/>
        <v>17.88007400152356</v>
      </c>
      <c r="BJ24" s="40">
        <f t="shared" si="32"/>
        <v>19.416873449131515</v>
      </c>
      <c r="BK24" s="40">
        <f t="shared" si="32"/>
        <v>19.869230018542012</v>
      </c>
      <c r="BL24" s="40">
        <f t="shared" si="32"/>
        <v>19.689020318611085</v>
      </c>
      <c r="BM24" s="40">
        <f t="shared" si="32"/>
        <v>20.303587856485741</v>
      </c>
      <c r="BN24" s="40">
        <f t="shared" si="32"/>
        <v>19.592532758930172</v>
      </c>
      <c r="BO24" s="40">
        <f t="shared" si="32"/>
        <v>19.284506540891698</v>
      </c>
      <c r="BP24" s="40">
        <f t="shared" si="32"/>
        <v>19.560439560439562</v>
      </c>
      <c r="BQ24" s="40">
        <f t="shared" si="32"/>
        <v>19.224987472857858</v>
      </c>
      <c r="BR24" s="40">
        <f t="shared" si="32"/>
        <v>19.669853722317562</v>
      </c>
      <c r="BS24" s="40">
        <f t="shared" si="32"/>
        <v>19.596873083997547</v>
      </c>
      <c r="BT24" s="40">
        <f t="shared" si="32"/>
        <v>19.772271555428244</v>
      </c>
      <c r="BU24" s="40">
        <f t="shared" si="32"/>
        <v>19.184206906039343</v>
      </c>
      <c r="BV24" s="40">
        <f t="shared" si="32"/>
        <v>19.156403125413853</v>
      </c>
      <c r="BW24" s="40">
        <f t="shared" ref="BW24:CM24" si="36">(BW23/BW4)*100</f>
        <v>19.699707183353063</v>
      </c>
      <c r="BX24" s="40">
        <f t="shared" si="36"/>
        <v>19.689586717199063</v>
      </c>
      <c r="BY24" s="40">
        <f t="shared" si="36"/>
        <v>20.28423035214885</v>
      </c>
      <c r="BZ24" s="40">
        <f t="shared" si="36"/>
        <v>19.802313826799956</v>
      </c>
      <c r="CA24" s="40">
        <f t="shared" si="36"/>
        <v>20.76146740001068</v>
      </c>
      <c r="CB24" s="40">
        <f t="shared" si="36"/>
        <v>19.714669699162616</v>
      </c>
      <c r="CC24" s="40">
        <f t="shared" si="36"/>
        <v>20.759600655010303</v>
      </c>
      <c r="CD24" s="40">
        <f t="shared" si="36"/>
        <v>20.358948432760364</v>
      </c>
      <c r="CE24" s="40">
        <f t="shared" si="36"/>
        <v>21.183584456780334</v>
      </c>
      <c r="CF24" s="40">
        <f t="shared" si="36"/>
        <v>20.795032270682572</v>
      </c>
      <c r="CG24" s="40">
        <f t="shared" si="36"/>
        <v>20.616845696371765</v>
      </c>
      <c r="CH24" s="40">
        <f t="shared" si="36"/>
        <v>20.027768136063866</v>
      </c>
      <c r="CI24" s="40">
        <f t="shared" si="36"/>
        <v>20.212019642996339</v>
      </c>
      <c r="CJ24" s="40">
        <f t="shared" si="36"/>
        <v>19.702683900259967</v>
      </c>
      <c r="CK24" s="40">
        <f t="shared" si="36"/>
        <v>19.627861024205501</v>
      </c>
      <c r="CL24" s="40">
        <f t="shared" si="36"/>
        <v>20.023980815347723</v>
      </c>
      <c r="CM24" s="40">
        <f t="shared" si="36"/>
        <v>20.961036449772795</v>
      </c>
      <c r="CN24" s="40">
        <f t="shared" ref="CN24:CO24" si="37">(CN23/CN4)*100</f>
        <v>21.234139079889417</v>
      </c>
      <c r="CO24" s="40">
        <f t="shared" si="37"/>
        <v>20.964058602396094</v>
      </c>
      <c r="CP24" s="40">
        <f t="shared" ref="CP24:CQ24" si="38">(CP23/CP4)*100</f>
        <v>21.595528455284551</v>
      </c>
      <c r="CQ24" s="40">
        <f t="shared" si="38"/>
        <v>22.648449816079875</v>
      </c>
      <c r="CR24" s="40">
        <f t="shared" ref="CR24:CW24" si="39">(CR23/CR4)*100</f>
        <v>21.428571428571427</v>
      </c>
      <c r="CS24" s="40">
        <f t="shared" si="39"/>
        <v>21.545342381246144</v>
      </c>
      <c r="CT24" s="40">
        <f t="shared" si="39"/>
        <v>20.616933242759217</v>
      </c>
      <c r="CU24" s="40">
        <f t="shared" si="39"/>
        <v>20.228375161941489</v>
      </c>
      <c r="CV24" s="40">
        <f t="shared" si="39"/>
        <v>20.505419415645619</v>
      </c>
      <c r="CW24" s="40">
        <f t="shared" si="39"/>
        <v>21.394112719184218</v>
      </c>
    </row>
    <row r="25" spans="1:101" s="5" customFormat="1" ht="13">
      <c r="A25" s="26" t="s">
        <v>125</v>
      </c>
      <c r="B25" s="5">
        <v>6</v>
      </c>
      <c r="C25" s="5">
        <v>12</v>
      </c>
      <c r="D25" s="5">
        <v>2</v>
      </c>
      <c r="E25" s="5">
        <v>6</v>
      </c>
      <c r="F25" s="5">
        <v>8</v>
      </c>
      <c r="G25" s="5">
        <v>10</v>
      </c>
      <c r="H25" s="5">
        <v>7</v>
      </c>
      <c r="I25" s="5">
        <v>5</v>
      </c>
      <c r="J25" s="5">
        <v>2</v>
      </c>
      <c r="K25" s="5">
        <v>5</v>
      </c>
      <c r="L25" s="5">
        <v>0</v>
      </c>
      <c r="M25" s="5">
        <v>2</v>
      </c>
      <c r="N25" s="5">
        <v>4</v>
      </c>
      <c r="O25" s="5">
        <v>5</v>
      </c>
      <c r="P25" s="47">
        <v>5</v>
      </c>
      <c r="Q25" s="47">
        <v>7</v>
      </c>
      <c r="R25" s="47">
        <v>11</v>
      </c>
      <c r="S25" s="47">
        <v>7</v>
      </c>
      <c r="T25" s="5">
        <v>12</v>
      </c>
      <c r="U25" s="5">
        <v>8</v>
      </c>
      <c r="V25" s="5">
        <v>6</v>
      </c>
      <c r="W25" s="5">
        <v>9</v>
      </c>
      <c r="X25" s="5">
        <v>10</v>
      </c>
      <c r="Y25" s="5">
        <v>7</v>
      </c>
      <c r="Z25" s="5">
        <v>21</v>
      </c>
      <c r="AA25" s="5">
        <v>11</v>
      </c>
      <c r="AB25" s="5">
        <v>18</v>
      </c>
      <c r="AC25" s="5">
        <v>17</v>
      </c>
      <c r="AD25" s="5">
        <v>50</v>
      </c>
      <c r="AE25" s="5">
        <v>18</v>
      </c>
      <c r="AF25" s="5">
        <v>15</v>
      </c>
      <c r="AG25" s="5">
        <v>10</v>
      </c>
      <c r="AH25" s="5">
        <v>12</v>
      </c>
      <c r="AI25" s="5">
        <v>19</v>
      </c>
      <c r="AJ25" s="5">
        <v>9</v>
      </c>
      <c r="AK25" s="5">
        <v>16</v>
      </c>
      <c r="AL25" s="5">
        <v>12</v>
      </c>
      <c r="AM25" s="5">
        <v>21</v>
      </c>
      <c r="AN25" s="5">
        <v>19</v>
      </c>
      <c r="AO25" s="5">
        <v>21</v>
      </c>
      <c r="AP25" s="5">
        <v>25</v>
      </c>
      <c r="AQ25" s="5">
        <v>22</v>
      </c>
      <c r="AR25" s="5">
        <v>29</v>
      </c>
      <c r="AS25" s="5">
        <v>24</v>
      </c>
      <c r="AT25" s="5">
        <v>19</v>
      </c>
      <c r="AU25" s="5">
        <v>27</v>
      </c>
      <c r="AV25" s="1">
        <v>24</v>
      </c>
      <c r="AW25" s="1">
        <v>19</v>
      </c>
      <c r="AX25" s="1">
        <v>30</v>
      </c>
      <c r="AY25" s="1">
        <v>15</v>
      </c>
      <c r="AZ25" s="88">
        <v>1</v>
      </c>
      <c r="BA25" s="5">
        <v>0</v>
      </c>
      <c r="BB25" s="5">
        <v>1</v>
      </c>
      <c r="BC25" s="5">
        <v>0</v>
      </c>
      <c r="BD25" s="5">
        <v>1</v>
      </c>
      <c r="BE25" s="5">
        <v>0</v>
      </c>
      <c r="BF25" s="5">
        <v>1</v>
      </c>
      <c r="BG25" s="5">
        <v>0</v>
      </c>
      <c r="BH25" s="5">
        <v>1</v>
      </c>
      <c r="BI25" s="5">
        <v>0</v>
      </c>
      <c r="BJ25" s="5">
        <v>0</v>
      </c>
      <c r="BK25" s="5">
        <v>0</v>
      </c>
      <c r="BL25" s="5">
        <v>2</v>
      </c>
      <c r="BM25" s="5">
        <v>0</v>
      </c>
      <c r="BN25" s="5">
        <v>1</v>
      </c>
      <c r="BO25" s="5">
        <v>1</v>
      </c>
      <c r="BP25" s="5">
        <v>1</v>
      </c>
      <c r="BQ25" s="5">
        <v>0</v>
      </c>
      <c r="BR25" s="5">
        <v>3</v>
      </c>
      <c r="BS25" s="5">
        <v>6</v>
      </c>
      <c r="BT25" s="5">
        <v>2</v>
      </c>
      <c r="BU25" s="5">
        <v>1</v>
      </c>
      <c r="BV25" s="5">
        <v>3</v>
      </c>
      <c r="BW25" s="5">
        <v>3</v>
      </c>
      <c r="BX25" s="5">
        <v>3</v>
      </c>
      <c r="BY25" s="5">
        <v>8</v>
      </c>
      <c r="BZ25" s="5">
        <v>10</v>
      </c>
      <c r="CA25" s="5">
        <v>3</v>
      </c>
      <c r="CB25" s="5">
        <v>18</v>
      </c>
      <c r="CC25" s="5">
        <v>9</v>
      </c>
      <c r="CD25" s="5">
        <v>5</v>
      </c>
      <c r="CE25" s="5">
        <v>17</v>
      </c>
      <c r="CF25" s="5">
        <v>7</v>
      </c>
      <c r="CG25" s="5">
        <v>17</v>
      </c>
      <c r="CH25" s="5">
        <v>11</v>
      </c>
      <c r="CI25" s="5">
        <v>9</v>
      </c>
      <c r="CJ25" s="5">
        <v>9</v>
      </c>
      <c r="CK25" s="5">
        <v>12</v>
      </c>
      <c r="CL25" s="5">
        <v>10</v>
      </c>
      <c r="CM25" s="5">
        <v>16</v>
      </c>
      <c r="CN25" s="5">
        <v>20</v>
      </c>
      <c r="CO25" s="5">
        <v>24</v>
      </c>
      <c r="CP25" s="5">
        <v>21</v>
      </c>
      <c r="CQ25" s="5">
        <v>30</v>
      </c>
      <c r="CR25" s="5">
        <v>33</v>
      </c>
      <c r="CS25" s="5">
        <v>14</v>
      </c>
      <c r="CT25" s="1">
        <v>24</v>
      </c>
      <c r="CU25" s="1">
        <v>37</v>
      </c>
      <c r="CV25" s="1">
        <v>27</v>
      </c>
      <c r="CW25" s="1">
        <v>28</v>
      </c>
    </row>
    <row r="26" spans="1:101" s="5" customFormat="1" ht="13">
      <c r="A26" s="26" t="s">
        <v>126</v>
      </c>
      <c r="B26" s="5">
        <v>329</v>
      </c>
      <c r="C26" s="5">
        <v>340</v>
      </c>
      <c r="D26" s="5">
        <v>332</v>
      </c>
      <c r="E26" s="5">
        <v>316</v>
      </c>
      <c r="F26" s="5">
        <v>359</v>
      </c>
      <c r="G26" s="5">
        <v>325</v>
      </c>
      <c r="H26" s="5">
        <v>316</v>
      </c>
      <c r="I26" s="5">
        <v>326</v>
      </c>
      <c r="J26" s="5">
        <v>297</v>
      </c>
      <c r="K26" s="5">
        <v>273</v>
      </c>
      <c r="L26" s="5">
        <v>285</v>
      </c>
      <c r="M26" s="5">
        <v>272</v>
      </c>
      <c r="N26" s="5">
        <v>309</v>
      </c>
      <c r="O26" s="5">
        <v>319</v>
      </c>
      <c r="P26" s="47">
        <v>300</v>
      </c>
      <c r="Q26" s="47">
        <v>283</v>
      </c>
      <c r="R26" s="47">
        <v>312</v>
      </c>
      <c r="S26" s="47">
        <v>332</v>
      </c>
      <c r="T26" s="5">
        <v>314</v>
      </c>
      <c r="U26" s="5">
        <v>371</v>
      </c>
      <c r="V26" s="5">
        <v>372</v>
      </c>
      <c r="W26" s="5">
        <v>456</v>
      </c>
      <c r="X26" s="5">
        <v>415</v>
      </c>
      <c r="Y26" s="5">
        <v>429</v>
      </c>
      <c r="Z26" s="5">
        <v>494</v>
      </c>
      <c r="AA26" s="5">
        <v>487</v>
      </c>
      <c r="AB26" s="5">
        <v>466</v>
      </c>
      <c r="AC26" s="5">
        <v>478</v>
      </c>
      <c r="AD26" s="5">
        <v>475</v>
      </c>
      <c r="AE26" s="5">
        <v>475</v>
      </c>
      <c r="AF26" s="5">
        <v>448</v>
      </c>
      <c r="AG26" s="5">
        <v>374</v>
      </c>
      <c r="AH26" s="5">
        <v>434</v>
      </c>
      <c r="AI26" s="5">
        <v>408</v>
      </c>
      <c r="AJ26" s="5">
        <v>468</v>
      </c>
      <c r="AK26" s="5">
        <v>462</v>
      </c>
      <c r="AL26" s="5">
        <v>490</v>
      </c>
      <c r="AM26" s="5">
        <v>562</v>
      </c>
      <c r="AN26" s="5">
        <v>659</v>
      </c>
      <c r="AO26" s="5">
        <v>791</v>
      </c>
      <c r="AP26" s="5">
        <v>776</v>
      </c>
      <c r="AQ26" s="5">
        <v>524</v>
      </c>
      <c r="AR26" s="5">
        <v>789</v>
      </c>
      <c r="AS26" s="5">
        <v>716</v>
      </c>
      <c r="AT26" s="5">
        <v>709</v>
      </c>
      <c r="AU26" s="5">
        <v>804</v>
      </c>
      <c r="AV26" s="1">
        <v>770</v>
      </c>
      <c r="AW26" s="1">
        <v>754</v>
      </c>
      <c r="AX26" s="1">
        <v>784</v>
      </c>
      <c r="AY26" s="1">
        <v>842</v>
      </c>
      <c r="AZ26" s="88">
        <v>54</v>
      </c>
      <c r="BA26" s="5">
        <v>56</v>
      </c>
      <c r="BB26" s="5">
        <v>54</v>
      </c>
      <c r="BC26" s="5">
        <v>68</v>
      </c>
      <c r="BD26" s="5">
        <v>62</v>
      </c>
      <c r="BE26" s="5">
        <v>88</v>
      </c>
      <c r="BF26" s="5">
        <v>71</v>
      </c>
      <c r="BG26" s="5">
        <v>91</v>
      </c>
      <c r="BH26" s="5">
        <v>106</v>
      </c>
      <c r="BI26" s="5">
        <v>119</v>
      </c>
      <c r="BJ26" s="5">
        <v>132</v>
      </c>
      <c r="BK26" s="5">
        <v>120</v>
      </c>
      <c r="BL26" s="5">
        <v>133</v>
      </c>
      <c r="BM26" s="5">
        <v>140</v>
      </c>
      <c r="BN26" s="5">
        <v>134</v>
      </c>
      <c r="BO26" s="5">
        <v>148</v>
      </c>
      <c r="BP26" s="5">
        <v>146</v>
      </c>
      <c r="BQ26" s="5">
        <v>174</v>
      </c>
      <c r="BR26" s="5">
        <v>181</v>
      </c>
      <c r="BS26" s="5">
        <v>188</v>
      </c>
      <c r="BT26" s="5">
        <v>173</v>
      </c>
      <c r="BU26" s="5">
        <v>212</v>
      </c>
      <c r="BV26" s="5">
        <v>218</v>
      </c>
      <c r="BW26" s="5">
        <v>261</v>
      </c>
      <c r="BX26" s="5">
        <v>260</v>
      </c>
      <c r="BY26" s="5">
        <v>300</v>
      </c>
      <c r="BZ26" s="5">
        <v>290</v>
      </c>
      <c r="CA26" s="5">
        <v>311</v>
      </c>
      <c r="CB26" s="5">
        <v>313</v>
      </c>
      <c r="CC26" s="5">
        <v>303</v>
      </c>
      <c r="CD26" s="5">
        <v>316</v>
      </c>
      <c r="CE26" s="5">
        <v>322</v>
      </c>
      <c r="CF26" s="5">
        <v>375</v>
      </c>
      <c r="CG26" s="5">
        <v>395</v>
      </c>
      <c r="CH26" s="5">
        <v>438</v>
      </c>
      <c r="CI26" s="5">
        <v>444</v>
      </c>
      <c r="CJ26" s="5">
        <v>407</v>
      </c>
      <c r="CK26" s="5">
        <v>536</v>
      </c>
      <c r="CL26" s="5">
        <v>683</v>
      </c>
      <c r="CM26" s="5">
        <v>865</v>
      </c>
      <c r="CN26" s="5">
        <v>865</v>
      </c>
      <c r="CO26" s="5">
        <v>536</v>
      </c>
      <c r="CP26" s="5">
        <v>896</v>
      </c>
      <c r="CQ26" s="5">
        <v>913</v>
      </c>
      <c r="CR26" s="5">
        <v>908</v>
      </c>
      <c r="CS26" s="5">
        <v>991</v>
      </c>
      <c r="CT26" s="1">
        <v>965</v>
      </c>
      <c r="CU26" s="1">
        <v>959</v>
      </c>
      <c r="CV26" s="1">
        <v>1095</v>
      </c>
      <c r="CW26" s="1">
        <v>1256</v>
      </c>
    </row>
    <row r="27" spans="1:101" s="5" customFormat="1" ht="13">
      <c r="A27" s="26" t="s">
        <v>127</v>
      </c>
      <c r="B27" s="5">
        <v>2726</v>
      </c>
      <c r="C27" s="5">
        <v>2888</v>
      </c>
      <c r="D27" s="5">
        <v>2978</v>
      </c>
      <c r="E27" s="5">
        <v>3210</v>
      </c>
      <c r="F27" s="5">
        <v>3032</v>
      </c>
      <c r="G27" s="5">
        <v>2901</v>
      </c>
      <c r="H27" s="5">
        <v>3007</v>
      </c>
      <c r="I27" s="5">
        <v>2858</v>
      </c>
      <c r="J27" s="5">
        <v>2755</v>
      </c>
      <c r="K27" s="5">
        <v>2775</v>
      </c>
      <c r="L27" s="5">
        <v>2875</v>
      </c>
      <c r="M27" s="5">
        <v>2940</v>
      </c>
      <c r="N27" s="5">
        <v>2813</v>
      </c>
      <c r="O27" s="5">
        <v>2794</v>
      </c>
      <c r="P27" s="47">
        <v>2794</v>
      </c>
      <c r="Q27" s="47">
        <v>2645</v>
      </c>
      <c r="R27" s="47">
        <v>2772</v>
      </c>
      <c r="S27" s="47">
        <v>2735</v>
      </c>
      <c r="T27" s="5">
        <v>2750</v>
      </c>
      <c r="U27" s="5">
        <v>2727</v>
      </c>
      <c r="V27" s="5">
        <v>3105</v>
      </c>
      <c r="W27" s="5">
        <v>2881</v>
      </c>
      <c r="X27" s="5">
        <v>3027</v>
      </c>
      <c r="Y27" s="5">
        <v>3118</v>
      </c>
      <c r="Z27" s="5">
        <v>3088</v>
      </c>
      <c r="AA27" s="5">
        <v>3222</v>
      </c>
      <c r="AB27" s="5">
        <v>3090</v>
      </c>
      <c r="AC27" s="5">
        <v>3403</v>
      </c>
      <c r="AD27" s="5">
        <v>3158</v>
      </c>
      <c r="AE27" s="5">
        <v>3030</v>
      </c>
      <c r="AF27" s="5">
        <v>3036</v>
      </c>
      <c r="AG27" s="5">
        <v>3141</v>
      </c>
      <c r="AH27" s="5">
        <v>2944</v>
      </c>
      <c r="AI27" s="5">
        <v>3070</v>
      </c>
      <c r="AJ27" s="5">
        <v>3151</v>
      </c>
      <c r="AK27" s="5">
        <v>3241</v>
      </c>
      <c r="AL27" s="5">
        <v>3537</v>
      </c>
      <c r="AM27" s="5">
        <v>3668</v>
      </c>
      <c r="AN27" s="5">
        <v>3827</v>
      </c>
      <c r="AO27" s="5">
        <v>3744</v>
      </c>
      <c r="AP27" s="5">
        <v>3547</v>
      </c>
      <c r="AQ27" s="5">
        <v>3571</v>
      </c>
      <c r="AR27" s="5">
        <v>3815</v>
      </c>
      <c r="AS27" s="5">
        <v>3903</v>
      </c>
      <c r="AT27" s="5">
        <v>3858</v>
      </c>
      <c r="AU27" s="5">
        <v>3865</v>
      </c>
      <c r="AV27" s="1">
        <v>3663</v>
      </c>
      <c r="AW27" s="1">
        <v>3765</v>
      </c>
      <c r="AX27" s="1">
        <v>3851</v>
      </c>
      <c r="AY27" s="1">
        <v>4082</v>
      </c>
      <c r="AZ27" s="88">
        <v>449</v>
      </c>
      <c r="BA27" s="5">
        <v>461</v>
      </c>
      <c r="BB27" s="5">
        <v>512</v>
      </c>
      <c r="BC27" s="5">
        <v>707</v>
      </c>
      <c r="BD27" s="5">
        <v>667</v>
      </c>
      <c r="BE27" s="5">
        <v>727</v>
      </c>
      <c r="BF27" s="5">
        <v>792</v>
      </c>
      <c r="BG27" s="5">
        <v>825</v>
      </c>
      <c r="BH27" s="5">
        <v>889</v>
      </c>
      <c r="BI27" s="5">
        <v>943</v>
      </c>
      <c r="BJ27" s="5">
        <v>1107</v>
      </c>
      <c r="BK27" s="5">
        <v>1214</v>
      </c>
      <c r="BL27" s="5">
        <v>1198</v>
      </c>
      <c r="BM27" s="5">
        <v>1312</v>
      </c>
      <c r="BN27" s="5">
        <v>1247</v>
      </c>
      <c r="BO27" s="5">
        <v>1268</v>
      </c>
      <c r="BP27" s="5">
        <v>1368</v>
      </c>
      <c r="BQ27" s="5">
        <v>1348</v>
      </c>
      <c r="BR27" s="5">
        <v>1366</v>
      </c>
      <c r="BS27" s="5">
        <v>1482</v>
      </c>
      <c r="BT27" s="5">
        <v>1642</v>
      </c>
      <c r="BU27" s="5">
        <v>1659</v>
      </c>
      <c r="BV27" s="5">
        <v>1676</v>
      </c>
      <c r="BW27" s="5">
        <v>1869</v>
      </c>
      <c r="BX27" s="5">
        <v>1946</v>
      </c>
      <c r="BY27" s="5">
        <v>2145</v>
      </c>
      <c r="BZ27" s="5">
        <v>2020</v>
      </c>
      <c r="CA27" s="5">
        <v>2272</v>
      </c>
      <c r="CB27" s="5">
        <v>2230</v>
      </c>
      <c r="CC27" s="5">
        <v>2378</v>
      </c>
      <c r="CD27" s="5">
        <v>2444</v>
      </c>
      <c r="CE27" s="5">
        <v>2654</v>
      </c>
      <c r="CF27" s="5">
        <v>2587</v>
      </c>
      <c r="CG27" s="5">
        <v>2661</v>
      </c>
      <c r="CH27" s="5">
        <v>2762</v>
      </c>
      <c r="CI27" s="5">
        <v>2962</v>
      </c>
      <c r="CJ27" s="5">
        <v>3138</v>
      </c>
      <c r="CK27" s="5">
        <v>3456</v>
      </c>
      <c r="CL27" s="5">
        <v>3545</v>
      </c>
      <c r="CM27" s="5">
        <v>3518</v>
      </c>
      <c r="CN27" s="5">
        <v>3356</v>
      </c>
      <c r="CO27" s="5">
        <v>3522</v>
      </c>
      <c r="CP27" s="5">
        <v>3420</v>
      </c>
      <c r="CQ27" s="5">
        <v>3780</v>
      </c>
      <c r="CR27" s="5">
        <v>3756</v>
      </c>
      <c r="CS27" s="5">
        <v>3832</v>
      </c>
      <c r="CT27" s="1">
        <v>3608</v>
      </c>
      <c r="CU27" s="1">
        <v>3559</v>
      </c>
      <c r="CV27" s="1">
        <v>3557</v>
      </c>
      <c r="CW27" s="1">
        <v>3705</v>
      </c>
    </row>
    <row r="28" spans="1:101" s="5" customFormat="1" ht="13">
      <c r="A28" s="26" t="s">
        <v>128</v>
      </c>
      <c r="B28" s="5">
        <v>571</v>
      </c>
      <c r="C28" s="5">
        <v>560</v>
      </c>
      <c r="D28" s="5">
        <v>604</v>
      </c>
      <c r="E28" s="5">
        <v>587</v>
      </c>
      <c r="F28" s="5">
        <v>612</v>
      </c>
      <c r="G28" s="5">
        <v>560</v>
      </c>
      <c r="H28" s="5">
        <v>562</v>
      </c>
      <c r="I28" s="5">
        <v>544</v>
      </c>
      <c r="J28" s="5">
        <v>508</v>
      </c>
      <c r="K28" s="5">
        <v>489</v>
      </c>
      <c r="L28" s="5">
        <v>436</v>
      </c>
      <c r="M28" s="5">
        <v>507</v>
      </c>
      <c r="N28" s="5">
        <v>426</v>
      </c>
      <c r="O28" s="5">
        <v>461</v>
      </c>
      <c r="P28" s="47">
        <v>434</v>
      </c>
      <c r="Q28" s="47">
        <v>426</v>
      </c>
      <c r="R28" s="47">
        <v>409</v>
      </c>
      <c r="S28" s="47">
        <v>429</v>
      </c>
      <c r="T28" s="5">
        <v>444</v>
      </c>
      <c r="U28" s="5">
        <v>434</v>
      </c>
      <c r="V28" s="5">
        <v>466</v>
      </c>
      <c r="W28" s="5">
        <v>468</v>
      </c>
      <c r="X28" s="5">
        <v>432</v>
      </c>
      <c r="Y28" s="5">
        <v>498</v>
      </c>
      <c r="Z28" s="5">
        <v>510</v>
      </c>
      <c r="AA28" s="5">
        <v>492</v>
      </c>
      <c r="AB28" s="5">
        <v>503</v>
      </c>
      <c r="AC28" s="5">
        <v>541</v>
      </c>
      <c r="AD28" s="5">
        <v>494</v>
      </c>
      <c r="AE28" s="5">
        <v>506</v>
      </c>
      <c r="AF28" s="5">
        <v>458</v>
      </c>
      <c r="AG28" s="5">
        <v>410</v>
      </c>
      <c r="AH28" s="5">
        <v>377</v>
      </c>
      <c r="AI28" s="5">
        <v>443</v>
      </c>
      <c r="AJ28" s="5">
        <v>400</v>
      </c>
      <c r="AK28" s="5">
        <v>516</v>
      </c>
      <c r="AL28" s="5">
        <v>461</v>
      </c>
      <c r="AM28" s="5">
        <v>511</v>
      </c>
      <c r="AN28" s="5">
        <v>499</v>
      </c>
      <c r="AO28" s="5">
        <v>522</v>
      </c>
      <c r="AP28" s="5">
        <v>464</v>
      </c>
      <c r="AQ28" s="5">
        <v>490</v>
      </c>
      <c r="AR28" s="5">
        <v>498</v>
      </c>
      <c r="AS28" s="5">
        <v>554</v>
      </c>
      <c r="AT28" s="5">
        <v>614</v>
      </c>
      <c r="AU28" s="5">
        <v>622</v>
      </c>
      <c r="AV28" s="1">
        <v>675</v>
      </c>
      <c r="AW28" s="1">
        <v>596</v>
      </c>
      <c r="AX28" s="1">
        <v>618</v>
      </c>
      <c r="AY28" s="1">
        <v>600</v>
      </c>
      <c r="AZ28" s="88">
        <v>65</v>
      </c>
      <c r="BA28" s="5">
        <v>96</v>
      </c>
      <c r="BB28" s="5">
        <v>110</v>
      </c>
      <c r="BC28" s="5">
        <v>110</v>
      </c>
      <c r="BD28" s="5">
        <v>103</v>
      </c>
      <c r="BE28" s="5">
        <v>141</v>
      </c>
      <c r="BF28" s="5">
        <v>164</v>
      </c>
      <c r="BG28" s="5">
        <v>159</v>
      </c>
      <c r="BH28" s="5">
        <v>171</v>
      </c>
      <c r="BI28" s="5">
        <v>166</v>
      </c>
      <c r="BJ28" s="5">
        <v>182</v>
      </c>
      <c r="BK28" s="5">
        <v>204</v>
      </c>
      <c r="BL28" s="5">
        <v>185</v>
      </c>
      <c r="BM28" s="5">
        <v>219</v>
      </c>
      <c r="BN28" s="5">
        <v>221</v>
      </c>
      <c r="BO28" s="5">
        <v>175</v>
      </c>
      <c r="BP28" s="5">
        <v>179</v>
      </c>
      <c r="BQ28" s="5">
        <v>207</v>
      </c>
      <c r="BR28" s="5">
        <v>223</v>
      </c>
      <c r="BS28" s="5">
        <v>231</v>
      </c>
      <c r="BT28" s="5">
        <v>252</v>
      </c>
      <c r="BU28" s="5">
        <v>247</v>
      </c>
      <c r="BV28" s="5">
        <v>275</v>
      </c>
      <c r="BW28" s="5">
        <v>270</v>
      </c>
      <c r="BX28" s="5">
        <v>255</v>
      </c>
      <c r="BY28" s="5">
        <v>296</v>
      </c>
      <c r="BZ28" s="5">
        <v>327</v>
      </c>
      <c r="CA28" s="5">
        <v>346</v>
      </c>
      <c r="CB28" s="5">
        <v>357</v>
      </c>
      <c r="CC28" s="5">
        <v>339</v>
      </c>
      <c r="CD28" s="5">
        <v>338</v>
      </c>
      <c r="CE28" s="5">
        <v>338</v>
      </c>
      <c r="CF28" s="5">
        <v>344</v>
      </c>
      <c r="CG28" s="5">
        <v>370</v>
      </c>
      <c r="CH28" s="5">
        <v>380</v>
      </c>
      <c r="CI28" s="5">
        <v>546</v>
      </c>
      <c r="CJ28" s="5">
        <v>522</v>
      </c>
      <c r="CK28" s="5">
        <v>520</v>
      </c>
      <c r="CL28" s="5">
        <v>492</v>
      </c>
      <c r="CM28" s="5">
        <v>592</v>
      </c>
      <c r="CN28" s="5">
        <v>449</v>
      </c>
      <c r="CO28" s="5">
        <v>466</v>
      </c>
      <c r="CP28" s="5">
        <v>487</v>
      </c>
      <c r="CQ28" s="5">
        <v>559</v>
      </c>
      <c r="CR28" s="5">
        <v>582</v>
      </c>
      <c r="CS28" s="5">
        <v>560</v>
      </c>
      <c r="CT28" s="1">
        <v>519</v>
      </c>
      <c r="CU28" s="1">
        <v>572</v>
      </c>
      <c r="CV28" s="1">
        <v>551</v>
      </c>
      <c r="CW28" s="1">
        <v>609</v>
      </c>
    </row>
    <row r="29" spans="1:101" s="5" customFormat="1" ht="13">
      <c r="A29" s="26" t="s">
        <v>131</v>
      </c>
      <c r="B29" s="5">
        <v>44</v>
      </c>
      <c r="C29" s="5">
        <v>67</v>
      </c>
      <c r="D29" s="5">
        <v>74</v>
      </c>
      <c r="E29" s="5">
        <v>78</v>
      </c>
      <c r="F29" s="5">
        <v>96</v>
      </c>
      <c r="G29" s="5">
        <v>81</v>
      </c>
      <c r="H29" s="5">
        <v>96</v>
      </c>
      <c r="I29" s="5">
        <v>106</v>
      </c>
      <c r="J29" s="5">
        <v>102</v>
      </c>
      <c r="K29" s="5">
        <v>92</v>
      </c>
      <c r="L29" s="5">
        <v>79</v>
      </c>
      <c r="M29" s="5">
        <v>82</v>
      </c>
      <c r="N29" s="5">
        <v>82</v>
      </c>
      <c r="O29" s="5">
        <v>80</v>
      </c>
      <c r="P29" s="47">
        <v>74</v>
      </c>
      <c r="Q29" s="47">
        <v>96</v>
      </c>
      <c r="R29" s="47">
        <v>90</v>
      </c>
      <c r="S29" s="47">
        <v>93</v>
      </c>
      <c r="T29" s="5">
        <v>78</v>
      </c>
      <c r="U29" s="5">
        <v>113</v>
      </c>
      <c r="V29" s="5">
        <v>66</v>
      </c>
      <c r="W29" s="5">
        <v>88</v>
      </c>
      <c r="X29" s="5">
        <v>103</v>
      </c>
      <c r="Y29" s="5">
        <v>109</v>
      </c>
      <c r="Z29" s="5">
        <v>101</v>
      </c>
      <c r="AA29" s="5">
        <v>100</v>
      </c>
      <c r="AB29" s="5">
        <v>117</v>
      </c>
      <c r="AC29" s="5">
        <v>113</v>
      </c>
      <c r="AD29" s="5">
        <v>101</v>
      </c>
      <c r="AE29" s="5">
        <v>99</v>
      </c>
      <c r="AF29" s="5">
        <v>90</v>
      </c>
      <c r="AG29" s="5">
        <v>88</v>
      </c>
      <c r="AH29" s="5">
        <v>68</v>
      </c>
      <c r="AI29" s="5">
        <v>71</v>
      </c>
      <c r="AJ29" s="5">
        <v>56</v>
      </c>
      <c r="AK29" s="5">
        <v>84</v>
      </c>
      <c r="AL29" s="5">
        <v>86</v>
      </c>
      <c r="AM29" s="5">
        <v>80</v>
      </c>
      <c r="AN29" s="5">
        <v>118</v>
      </c>
      <c r="AO29" s="5">
        <v>105</v>
      </c>
      <c r="AP29" s="5">
        <v>87</v>
      </c>
      <c r="AQ29" s="5">
        <v>142</v>
      </c>
      <c r="AR29" s="5">
        <v>99</v>
      </c>
      <c r="AS29" s="5">
        <v>114</v>
      </c>
      <c r="AT29" s="5">
        <v>87</v>
      </c>
      <c r="AU29" s="5">
        <v>127</v>
      </c>
      <c r="AV29" s="1">
        <v>102</v>
      </c>
      <c r="AW29" s="1">
        <v>91</v>
      </c>
      <c r="AX29" s="1">
        <v>97</v>
      </c>
      <c r="AY29" s="1">
        <v>97</v>
      </c>
      <c r="AZ29" s="88">
        <v>9</v>
      </c>
      <c r="BA29" s="5">
        <v>11</v>
      </c>
      <c r="BB29" s="5">
        <v>6</v>
      </c>
      <c r="BC29" s="5">
        <v>16</v>
      </c>
      <c r="BD29" s="5">
        <v>13</v>
      </c>
      <c r="BE29" s="5">
        <v>16</v>
      </c>
      <c r="BF29" s="5">
        <v>20</v>
      </c>
      <c r="BG29" s="5">
        <v>28</v>
      </c>
      <c r="BH29" s="5">
        <v>27</v>
      </c>
      <c r="BI29" s="5">
        <v>30</v>
      </c>
      <c r="BJ29" s="5">
        <v>24</v>
      </c>
      <c r="BK29" s="5">
        <v>32</v>
      </c>
      <c r="BL29" s="5">
        <v>29</v>
      </c>
      <c r="BM29" s="5">
        <v>40</v>
      </c>
      <c r="BN29" s="5">
        <v>27</v>
      </c>
      <c r="BO29" s="5">
        <v>42</v>
      </c>
      <c r="BP29" s="5">
        <v>42</v>
      </c>
      <c r="BQ29" s="5">
        <v>52</v>
      </c>
      <c r="BR29" s="5">
        <v>38</v>
      </c>
      <c r="BS29" s="5">
        <v>59</v>
      </c>
      <c r="BT29" s="5">
        <v>48</v>
      </c>
      <c r="BU29" s="5">
        <v>56</v>
      </c>
      <c r="BV29" s="5">
        <v>42</v>
      </c>
      <c r="BW29" s="5">
        <v>59</v>
      </c>
      <c r="BX29" s="5">
        <v>74</v>
      </c>
      <c r="BY29" s="5">
        <v>66</v>
      </c>
      <c r="BZ29" s="5">
        <v>79</v>
      </c>
      <c r="CA29" s="5">
        <v>72</v>
      </c>
      <c r="CB29" s="5">
        <v>67</v>
      </c>
      <c r="CC29" s="5">
        <v>65</v>
      </c>
      <c r="CD29" s="5">
        <v>81</v>
      </c>
      <c r="CE29" s="5">
        <v>105</v>
      </c>
      <c r="CF29" s="5">
        <v>62</v>
      </c>
      <c r="CG29" s="5">
        <v>75</v>
      </c>
      <c r="CH29" s="5">
        <v>71</v>
      </c>
      <c r="CI29" s="5">
        <v>88</v>
      </c>
      <c r="CJ29" s="5">
        <v>92</v>
      </c>
      <c r="CK29" s="5">
        <v>106</v>
      </c>
      <c r="CL29" s="5">
        <v>121</v>
      </c>
      <c r="CM29" s="5">
        <v>106</v>
      </c>
      <c r="CN29" s="5">
        <v>100</v>
      </c>
      <c r="CO29" s="5">
        <v>119</v>
      </c>
      <c r="CP29" s="5">
        <v>111</v>
      </c>
      <c r="CQ29" s="5">
        <v>140</v>
      </c>
      <c r="CR29" s="5">
        <v>125</v>
      </c>
      <c r="CS29" s="5">
        <v>133</v>
      </c>
      <c r="CT29" s="1">
        <v>129</v>
      </c>
      <c r="CU29" s="1">
        <v>121</v>
      </c>
      <c r="CV29" s="1">
        <v>109</v>
      </c>
      <c r="CW29" s="1">
        <v>110</v>
      </c>
    </row>
    <row r="30" spans="1:101" s="5" customFormat="1" ht="13">
      <c r="A30" s="26" t="s">
        <v>133</v>
      </c>
      <c r="B30" s="5">
        <v>44</v>
      </c>
      <c r="C30" s="5">
        <v>52</v>
      </c>
      <c r="D30" s="5">
        <v>48</v>
      </c>
      <c r="E30" s="5">
        <v>42</v>
      </c>
      <c r="F30" s="5">
        <v>62</v>
      </c>
      <c r="G30" s="5">
        <v>55</v>
      </c>
      <c r="H30" s="50">
        <v>62</v>
      </c>
      <c r="I30" s="5">
        <v>45</v>
      </c>
      <c r="J30" s="5">
        <v>48</v>
      </c>
      <c r="K30" s="5">
        <v>52</v>
      </c>
      <c r="L30" s="5">
        <v>48</v>
      </c>
      <c r="M30" s="5">
        <v>49</v>
      </c>
      <c r="N30" s="5">
        <v>46</v>
      </c>
      <c r="O30" s="5">
        <v>41</v>
      </c>
      <c r="P30" s="47">
        <v>40</v>
      </c>
      <c r="Q30" s="47">
        <v>40</v>
      </c>
      <c r="R30" s="47">
        <v>25</v>
      </c>
      <c r="S30" s="47">
        <v>39</v>
      </c>
      <c r="T30" s="5">
        <v>46</v>
      </c>
      <c r="U30" s="5">
        <v>50</v>
      </c>
      <c r="V30" s="5">
        <v>65</v>
      </c>
      <c r="W30" s="5">
        <v>47</v>
      </c>
      <c r="X30" s="5">
        <v>56</v>
      </c>
      <c r="Y30" s="5">
        <v>50</v>
      </c>
      <c r="Z30" s="5">
        <v>60</v>
      </c>
      <c r="AA30" s="5">
        <v>60</v>
      </c>
      <c r="AB30" s="5">
        <v>78</v>
      </c>
      <c r="AC30" s="5">
        <v>68</v>
      </c>
      <c r="AD30" s="5">
        <v>63</v>
      </c>
      <c r="AE30" s="5">
        <v>48</v>
      </c>
      <c r="AF30" s="5">
        <v>66</v>
      </c>
      <c r="AG30" s="5">
        <v>57</v>
      </c>
      <c r="AH30" s="5">
        <v>55</v>
      </c>
      <c r="AI30" s="5">
        <v>86</v>
      </c>
      <c r="AJ30" s="5">
        <v>60</v>
      </c>
      <c r="AK30" s="5">
        <v>58</v>
      </c>
      <c r="AL30" s="5">
        <v>90</v>
      </c>
      <c r="AM30" s="5">
        <v>85</v>
      </c>
      <c r="AN30" s="5">
        <v>79</v>
      </c>
      <c r="AO30" s="5">
        <v>94</v>
      </c>
      <c r="AP30" s="5">
        <v>61</v>
      </c>
      <c r="AQ30" s="5">
        <v>60</v>
      </c>
      <c r="AR30" s="5">
        <v>69</v>
      </c>
      <c r="AS30" s="5">
        <v>85</v>
      </c>
      <c r="AT30" s="5">
        <v>97</v>
      </c>
      <c r="AU30" s="5">
        <v>73</v>
      </c>
      <c r="AV30" s="1">
        <v>80</v>
      </c>
      <c r="AW30" s="1">
        <v>67</v>
      </c>
      <c r="AX30" s="1">
        <v>75</v>
      </c>
      <c r="AY30" s="1">
        <v>75</v>
      </c>
      <c r="AZ30" s="88">
        <v>1</v>
      </c>
      <c r="BA30" s="5">
        <v>5</v>
      </c>
      <c r="BB30" s="5">
        <v>10</v>
      </c>
      <c r="BC30" s="5">
        <v>2</v>
      </c>
      <c r="BD30" s="5">
        <v>7</v>
      </c>
      <c r="BE30" s="5">
        <v>10</v>
      </c>
      <c r="BF30" s="5">
        <v>8</v>
      </c>
      <c r="BG30" s="5">
        <v>4</v>
      </c>
      <c r="BH30" s="5">
        <v>11</v>
      </c>
      <c r="BI30" s="5">
        <v>12</v>
      </c>
      <c r="BJ30" s="5">
        <v>7</v>
      </c>
      <c r="BK30" s="5">
        <v>11</v>
      </c>
      <c r="BL30" s="5">
        <v>9</v>
      </c>
      <c r="BM30" s="5">
        <v>8</v>
      </c>
      <c r="BN30" s="5">
        <v>9</v>
      </c>
      <c r="BO30" s="5">
        <v>14</v>
      </c>
      <c r="BP30" s="5">
        <v>17</v>
      </c>
      <c r="BQ30" s="5">
        <v>8</v>
      </c>
      <c r="BR30" s="5">
        <v>17</v>
      </c>
      <c r="BS30" s="5">
        <v>10</v>
      </c>
      <c r="BT30" s="5">
        <v>25</v>
      </c>
      <c r="BU30" s="5">
        <v>29</v>
      </c>
      <c r="BV30" s="5">
        <v>20</v>
      </c>
      <c r="BW30" s="5">
        <v>15</v>
      </c>
      <c r="BX30" s="5">
        <v>28</v>
      </c>
      <c r="BY30" s="5">
        <v>20</v>
      </c>
      <c r="BZ30" s="5">
        <v>16</v>
      </c>
      <c r="CA30" s="5">
        <v>22</v>
      </c>
      <c r="CB30" s="5">
        <v>28</v>
      </c>
      <c r="CC30" s="5">
        <v>37</v>
      </c>
      <c r="CD30" s="5">
        <v>39</v>
      </c>
      <c r="CE30" s="5">
        <v>34</v>
      </c>
      <c r="CF30" s="5">
        <v>36</v>
      </c>
      <c r="CG30" s="5">
        <v>45</v>
      </c>
      <c r="CH30" s="5">
        <v>45</v>
      </c>
      <c r="CI30" s="5">
        <v>81</v>
      </c>
      <c r="CJ30" s="5">
        <v>82</v>
      </c>
      <c r="CK30" s="5">
        <v>76</v>
      </c>
      <c r="CL30" s="5">
        <v>77</v>
      </c>
      <c r="CM30" s="5">
        <v>65</v>
      </c>
      <c r="CN30" s="5">
        <v>48</v>
      </c>
      <c r="CO30" s="5">
        <v>55</v>
      </c>
      <c r="CP30" s="5">
        <v>42</v>
      </c>
      <c r="CQ30" s="5">
        <v>68</v>
      </c>
      <c r="CR30" s="5">
        <v>54</v>
      </c>
      <c r="CS30" s="5">
        <v>56</v>
      </c>
      <c r="CT30" s="1">
        <v>65</v>
      </c>
      <c r="CU30" s="1">
        <v>70</v>
      </c>
      <c r="CV30" s="1">
        <v>62</v>
      </c>
      <c r="CW30" s="1">
        <v>74</v>
      </c>
    </row>
    <row r="31" spans="1:101" s="5" customFormat="1" ht="13">
      <c r="A31" s="26" t="s">
        <v>142</v>
      </c>
      <c r="B31" s="5">
        <v>62</v>
      </c>
      <c r="C31" s="5">
        <v>74</v>
      </c>
      <c r="D31" s="5">
        <v>67</v>
      </c>
      <c r="E31" s="5">
        <v>69</v>
      </c>
      <c r="F31" s="5">
        <v>93</v>
      </c>
      <c r="G31" s="5">
        <v>73</v>
      </c>
      <c r="H31" s="5">
        <v>65</v>
      </c>
      <c r="I31" s="5">
        <v>59</v>
      </c>
      <c r="J31" s="5">
        <v>46</v>
      </c>
      <c r="K31" s="5">
        <v>39</v>
      </c>
      <c r="L31" s="5">
        <v>45</v>
      </c>
      <c r="M31" s="5">
        <v>29</v>
      </c>
      <c r="N31" s="5">
        <v>36</v>
      </c>
      <c r="O31" s="5">
        <v>40</v>
      </c>
      <c r="P31" s="47">
        <v>37</v>
      </c>
      <c r="Q31" s="47">
        <v>36</v>
      </c>
      <c r="R31" s="47">
        <v>46</v>
      </c>
      <c r="S31" s="47">
        <v>37</v>
      </c>
      <c r="T31" s="5">
        <v>49</v>
      </c>
      <c r="U31" s="5">
        <v>35</v>
      </c>
      <c r="V31" s="5">
        <v>51</v>
      </c>
      <c r="W31" s="5">
        <v>37</v>
      </c>
      <c r="X31" s="5">
        <v>38</v>
      </c>
      <c r="Y31" s="5">
        <v>46</v>
      </c>
      <c r="Z31" s="5">
        <v>37</v>
      </c>
      <c r="AA31" s="5">
        <v>41</v>
      </c>
      <c r="AB31" s="5">
        <v>38</v>
      </c>
      <c r="AC31" s="5">
        <v>56</v>
      </c>
      <c r="AD31" s="5">
        <v>64</v>
      </c>
      <c r="AE31" s="5">
        <v>48</v>
      </c>
      <c r="AF31" s="5">
        <v>37</v>
      </c>
      <c r="AG31" s="5">
        <v>39</v>
      </c>
      <c r="AH31" s="5">
        <v>45</v>
      </c>
      <c r="AI31" s="5">
        <v>44</v>
      </c>
      <c r="AJ31" s="5">
        <v>46</v>
      </c>
      <c r="AK31" s="5">
        <v>58</v>
      </c>
      <c r="AL31" s="5">
        <v>57</v>
      </c>
      <c r="AM31" s="5">
        <v>65</v>
      </c>
      <c r="AN31" s="5">
        <v>69</v>
      </c>
      <c r="AO31" s="5">
        <v>59</v>
      </c>
      <c r="AP31" s="5">
        <v>55</v>
      </c>
      <c r="AQ31" s="5">
        <v>58</v>
      </c>
      <c r="AR31" s="5">
        <v>53</v>
      </c>
      <c r="AS31" s="5">
        <v>47</v>
      </c>
      <c r="AT31" s="5">
        <v>59</v>
      </c>
      <c r="AU31" s="5">
        <v>71</v>
      </c>
      <c r="AV31" s="1">
        <v>66</v>
      </c>
      <c r="AW31" s="1">
        <v>61</v>
      </c>
      <c r="AX31" s="1">
        <v>56</v>
      </c>
      <c r="AY31" s="1">
        <v>79</v>
      </c>
      <c r="AZ31" s="88">
        <v>1</v>
      </c>
      <c r="BA31" s="5">
        <v>2</v>
      </c>
      <c r="BB31" s="5">
        <v>5</v>
      </c>
      <c r="BC31" s="5">
        <v>6</v>
      </c>
      <c r="BD31" s="5">
        <v>10</v>
      </c>
      <c r="BE31" s="5">
        <v>8</v>
      </c>
      <c r="BF31" s="5">
        <v>5</v>
      </c>
      <c r="BG31" s="5">
        <v>4</v>
      </c>
      <c r="BH31" s="5">
        <v>3</v>
      </c>
      <c r="BI31" s="5">
        <v>11</v>
      </c>
      <c r="BJ31" s="5">
        <v>11</v>
      </c>
      <c r="BK31" s="5">
        <v>9</v>
      </c>
      <c r="BL31" s="5">
        <v>12</v>
      </c>
      <c r="BM31" s="5">
        <v>11</v>
      </c>
      <c r="BN31" s="5">
        <v>16</v>
      </c>
      <c r="BO31" s="5">
        <v>16</v>
      </c>
      <c r="BP31" s="5">
        <v>14</v>
      </c>
      <c r="BQ31" s="5">
        <v>12</v>
      </c>
      <c r="BR31" s="5">
        <v>16</v>
      </c>
      <c r="BS31" s="5">
        <v>22</v>
      </c>
      <c r="BT31" s="5">
        <v>20</v>
      </c>
      <c r="BU31" s="5">
        <v>19</v>
      </c>
      <c r="BV31" s="5">
        <v>27</v>
      </c>
      <c r="BW31" s="5">
        <v>11</v>
      </c>
      <c r="BX31" s="5">
        <v>20</v>
      </c>
      <c r="BY31" s="5">
        <v>25</v>
      </c>
      <c r="BZ31" s="5">
        <v>23</v>
      </c>
      <c r="CA31" s="5">
        <v>37</v>
      </c>
      <c r="CB31" s="5">
        <v>34</v>
      </c>
      <c r="CC31" s="5">
        <v>35</v>
      </c>
      <c r="CD31" s="5">
        <v>28</v>
      </c>
      <c r="CE31" s="5">
        <v>17</v>
      </c>
      <c r="CF31" s="5">
        <v>28</v>
      </c>
      <c r="CG31" s="5">
        <v>31</v>
      </c>
      <c r="CH31" s="5">
        <v>34</v>
      </c>
      <c r="CI31" s="5">
        <v>59</v>
      </c>
      <c r="CJ31" s="5">
        <v>55</v>
      </c>
      <c r="CK31" s="5">
        <v>68</v>
      </c>
      <c r="CL31" s="5">
        <v>68</v>
      </c>
      <c r="CM31" s="5">
        <v>81</v>
      </c>
      <c r="CN31" s="5">
        <v>38</v>
      </c>
      <c r="CO31" s="5">
        <v>43</v>
      </c>
      <c r="CP31" s="5">
        <v>44</v>
      </c>
      <c r="CQ31" s="5">
        <v>51</v>
      </c>
      <c r="CR31" s="5">
        <v>48</v>
      </c>
      <c r="CS31" s="5">
        <v>58</v>
      </c>
      <c r="CT31" s="1">
        <v>52</v>
      </c>
      <c r="CU31" s="1">
        <v>61</v>
      </c>
      <c r="CV31" s="1">
        <v>56</v>
      </c>
      <c r="CW31" s="1">
        <v>49</v>
      </c>
    </row>
    <row r="32" spans="1:101" s="5" customFormat="1" ht="13">
      <c r="A32" s="26" t="s">
        <v>148</v>
      </c>
      <c r="B32" s="5">
        <v>9</v>
      </c>
      <c r="C32" s="5">
        <v>16</v>
      </c>
      <c r="D32" s="5">
        <v>16</v>
      </c>
      <c r="E32" s="5">
        <v>22</v>
      </c>
      <c r="F32" s="5">
        <v>10</v>
      </c>
      <c r="G32" s="5">
        <v>13</v>
      </c>
      <c r="H32" s="5">
        <v>17</v>
      </c>
      <c r="I32" s="5">
        <v>26</v>
      </c>
      <c r="J32" s="5">
        <v>12</v>
      </c>
      <c r="K32" s="5">
        <v>14</v>
      </c>
      <c r="L32" s="5">
        <v>15</v>
      </c>
      <c r="M32" s="5">
        <v>17</v>
      </c>
      <c r="N32" s="5">
        <v>21</v>
      </c>
      <c r="O32" s="5">
        <v>22</v>
      </c>
      <c r="P32" s="47">
        <v>14</v>
      </c>
      <c r="Q32" s="47">
        <v>13</v>
      </c>
      <c r="R32" s="47">
        <v>16</v>
      </c>
      <c r="S32" s="47">
        <v>19</v>
      </c>
      <c r="T32" s="5">
        <v>17</v>
      </c>
      <c r="U32" s="5">
        <v>19</v>
      </c>
      <c r="V32" s="5">
        <v>28</v>
      </c>
      <c r="W32" s="5">
        <v>24</v>
      </c>
      <c r="X32" s="5">
        <v>28</v>
      </c>
      <c r="Y32" s="5">
        <v>23</v>
      </c>
      <c r="Z32" s="5">
        <v>34</v>
      </c>
      <c r="AA32" s="5">
        <v>46</v>
      </c>
      <c r="AB32" s="5">
        <v>46</v>
      </c>
      <c r="AC32" s="5">
        <v>56</v>
      </c>
      <c r="AD32" s="5">
        <v>61</v>
      </c>
      <c r="AE32" s="5">
        <v>55</v>
      </c>
      <c r="AF32" s="5">
        <v>70</v>
      </c>
      <c r="AG32" s="5">
        <v>46</v>
      </c>
      <c r="AH32" s="5">
        <v>54</v>
      </c>
      <c r="AI32" s="5">
        <v>67</v>
      </c>
      <c r="AJ32" s="5">
        <v>58</v>
      </c>
      <c r="AK32" s="5">
        <v>70</v>
      </c>
      <c r="AL32" s="5">
        <v>84</v>
      </c>
      <c r="AM32" s="5">
        <v>74</v>
      </c>
      <c r="AN32" s="5">
        <v>85</v>
      </c>
      <c r="AO32" s="5">
        <v>128</v>
      </c>
      <c r="AP32" s="5">
        <v>131</v>
      </c>
      <c r="AQ32" s="5">
        <v>131</v>
      </c>
      <c r="AR32" s="5">
        <v>125</v>
      </c>
      <c r="AS32" s="5">
        <v>157</v>
      </c>
      <c r="AT32" s="5">
        <v>123</v>
      </c>
      <c r="AU32" s="5">
        <v>131</v>
      </c>
      <c r="AV32" s="1">
        <v>142</v>
      </c>
      <c r="AW32" s="1">
        <v>140</v>
      </c>
      <c r="AX32" s="1">
        <v>143</v>
      </c>
      <c r="AY32" s="1">
        <v>136</v>
      </c>
      <c r="AZ32" s="88">
        <v>2</v>
      </c>
      <c r="BA32" s="5">
        <v>3</v>
      </c>
      <c r="BB32" s="5">
        <v>5</v>
      </c>
      <c r="BC32" s="5">
        <v>2</v>
      </c>
      <c r="BD32" s="5">
        <v>1</v>
      </c>
      <c r="BE32" s="5">
        <v>2</v>
      </c>
      <c r="BF32" s="5">
        <v>7</v>
      </c>
      <c r="BG32" s="5">
        <v>7</v>
      </c>
      <c r="BH32" s="5">
        <v>6</v>
      </c>
      <c r="BI32" s="5">
        <v>5</v>
      </c>
      <c r="BJ32" s="5">
        <v>6</v>
      </c>
      <c r="BK32" s="5">
        <v>13</v>
      </c>
      <c r="BL32" s="5">
        <v>13</v>
      </c>
      <c r="BM32" s="5">
        <v>4</v>
      </c>
      <c r="BN32" s="5">
        <v>15</v>
      </c>
      <c r="BO32" s="5">
        <v>18</v>
      </c>
      <c r="BP32" s="5">
        <v>12</v>
      </c>
      <c r="BQ32" s="5">
        <v>13</v>
      </c>
      <c r="BR32" s="5">
        <v>11</v>
      </c>
      <c r="BS32" s="5">
        <v>16</v>
      </c>
      <c r="BT32" s="5">
        <v>10</v>
      </c>
      <c r="BU32" s="5">
        <v>12</v>
      </c>
      <c r="BV32" s="5">
        <v>17</v>
      </c>
      <c r="BW32" s="5">
        <v>16</v>
      </c>
      <c r="BX32" s="5">
        <v>18</v>
      </c>
      <c r="BY32" s="5">
        <v>31</v>
      </c>
      <c r="BZ32" s="5">
        <v>30</v>
      </c>
      <c r="CA32" s="5">
        <v>33</v>
      </c>
      <c r="CB32" s="5">
        <v>30</v>
      </c>
      <c r="CC32" s="5">
        <v>33</v>
      </c>
      <c r="CD32" s="5">
        <v>45</v>
      </c>
      <c r="CE32" s="5">
        <v>45</v>
      </c>
      <c r="CF32" s="5">
        <v>53</v>
      </c>
      <c r="CG32" s="5">
        <v>65</v>
      </c>
      <c r="CH32" s="5">
        <v>63</v>
      </c>
      <c r="CI32" s="5">
        <v>56</v>
      </c>
      <c r="CJ32" s="5">
        <v>73</v>
      </c>
      <c r="CK32" s="5">
        <v>83</v>
      </c>
      <c r="CL32" s="5">
        <v>88</v>
      </c>
      <c r="CM32" s="5">
        <v>132</v>
      </c>
      <c r="CN32" s="5">
        <v>104</v>
      </c>
      <c r="CO32" s="5">
        <v>125</v>
      </c>
      <c r="CP32" s="5">
        <v>139</v>
      </c>
      <c r="CQ32" s="5">
        <v>124</v>
      </c>
      <c r="CR32" s="5">
        <v>119</v>
      </c>
      <c r="CS32" s="5">
        <v>127</v>
      </c>
      <c r="CT32" s="1">
        <v>154</v>
      </c>
      <c r="CU32" s="1">
        <v>132</v>
      </c>
      <c r="CV32" s="1">
        <v>153</v>
      </c>
      <c r="CW32" s="1">
        <v>147</v>
      </c>
    </row>
    <row r="33" spans="1:101" s="5" customFormat="1" ht="13">
      <c r="A33" s="26" t="s">
        <v>147</v>
      </c>
      <c r="B33" s="5">
        <v>157</v>
      </c>
      <c r="C33" s="5">
        <v>162</v>
      </c>
      <c r="D33" s="5">
        <v>156</v>
      </c>
      <c r="E33" s="5">
        <v>173</v>
      </c>
      <c r="F33" s="5">
        <v>158</v>
      </c>
      <c r="G33" s="5">
        <v>110</v>
      </c>
      <c r="H33" s="5">
        <v>130</v>
      </c>
      <c r="I33" s="5">
        <v>119</v>
      </c>
      <c r="J33" s="5">
        <v>119</v>
      </c>
      <c r="K33" s="5">
        <v>127</v>
      </c>
      <c r="L33" s="5">
        <v>115</v>
      </c>
      <c r="M33" s="5">
        <v>105</v>
      </c>
      <c r="N33" s="5">
        <v>85</v>
      </c>
      <c r="O33" s="5">
        <v>117</v>
      </c>
      <c r="P33" s="47">
        <v>105</v>
      </c>
      <c r="Q33" s="47">
        <v>131</v>
      </c>
      <c r="R33" s="47">
        <v>138</v>
      </c>
      <c r="S33" s="47">
        <v>139</v>
      </c>
      <c r="T33" s="5">
        <v>132</v>
      </c>
      <c r="U33" s="5">
        <v>144</v>
      </c>
      <c r="V33" s="5">
        <v>153</v>
      </c>
      <c r="W33" s="5">
        <v>152</v>
      </c>
      <c r="X33" s="5">
        <v>147</v>
      </c>
      <c r="Y33" s="5">
        <v>141</v>
      </c>
      <c r="Z33" s="5">
        <v>161</v>
      </c>
      <c r="AA33" s="5">
        <v>180</v>
      </c>
      <c r="AB33" s="5">
        <v>192</v>
      </c>
      <c r="AC33" s="5">
        <v>171</v>
      </c>
      <c r="AD33" s="5">
        <v>194</v>
      </c>
      <c r="AE33" s="5">
        <v>145</v>
      </c>
      <c r="AF33" s="5">
        <v>148</v>
      </c>
      <c r="AG33" s="5">
        <v>146</v>
      </c>
      <c r="AH33" s="5">
        <v>156</v>
      </c>
      <c r="AI33" s="5">
        <v>134</v>
      </c>
      <c r="AJ33" s="5">
        <v>159</v>
      </c>
      <c r="AK33" s="5">
        <v>168</v>
      </c>
      <c r="AL33" s="5">
        <v>158</v>
      </c>
      <c r="AM33" s="5">
        <v>152</v>
      </c>
      <c r="AN33" s="5">
        <v>141</v>
      </c>
      <c r="AO33" s="5">
        <v>168</v>
      </c>
      <c r="AP33" s="5">
        <v>147</v>
      </c>
      <c r="AQ33" s="5">
        <v>154</v>
      </c>
      <c r="AR33" s="5">
        <v>163</v>
      </c>
      <c r="AS33" s="5">
        <v>188</v>
      </c>
      <c r="AT33" s="5">
        <v>186</v>
      </c>
      <c r="AU33" s="5">
        <v>180</v>
      </c>
      <c r="AV33" s="1">
        <v>179</v>
      </c>
      <c r="AW33" s="1">
        <v>182</v>
      </c>
      <c r="AX33" s="1">
        <v>172</v>
      </c>
      <c r="AY33" s="1">
        <v>196</v>
      </c>
      <c r="AZ33" s="88">
        <v>25</v>
      </c>
      <c r="BA33" s="5">
        <v>20</v>
      </c>
      <c r="BB33" s="5">
        <v>32</v>
      </c>
      <c r="BC33" s="5">
        <v>40</v>
      </c>
      <c r="BD33" s="5">
        <v>60</v>
      </c>
      <c r="BE33" s="5">
        <v>33</v>
      </c>
      <c r="BF33" s="5">
        <v>37</v>
      </c>
      <c r="BG33" s="5">
        <v>47</v>
      </c>
      <c r="BH33" s="5">
        <v>36</v>
      </c>
      <c r="BI33" s="5">
        <v>31</v>
      </c>
      <c r="BJ33" s="5">
        <v>51</v>
      </c>
      <c r="BK33" s="5">
        <v>60</v>
      </c>
      <c r="BL33" s="5">
        <v>66</v>
      </c>
      <c r="BM33" s="5">
        <v>53</v>
      </c>
      <c r="BN33" s="5">
        <v>69</v>
      </c>
      <c r="BO33" s="5">
        <v>58</v>
      </c>
      <c r="BP33" s="5">
        <v>71</v>
      </c>
      <c r="BQ33" s="5">
        <v>67</v>
      </c>
      <c r="BR33" s="5">
        <v>90</v>
      </c>
      <c r="BS33" s="5">
        <v>73</v>
      </c>
      <c r="BT33" s="5">
        <v>70</v>
      </c>
      <c r="BU33" s="5">
        <v>80</v>
      </c>
      <c r="BV33" s="5">
        <v>82</v>
      </c>
      <c r="BW33" s="5">
        <v>102</v>
      </c>
      <c r="BX33" s="5">
        <v>82</v>
      </c>
      <c r="BY33" s="5">
        <v>105</v>
      </c>
      <c r="BZ33" s="5">
        <v>113</v>
      </c>
      <c r="CA33" s="5">
        <v>109</v>
      </c>
      <c r="CB33" s="5">
        <v>113</v>
      </c>
      <c r="CC33" s="5">
        <v>134</v>
      </c>
      <c r="CD33" s="5">
        <v>123</v>
      </c>
      <c r="CE33" s="5">
        <v>119</v>
      </c>
      <c r="CF33" s="5">
        <v>124</v>
      </c>
      <c r="CG33" s="5">
        <v>110</v>
      </c>
      <c r="CH33" s="5">
        <v>124</v>
      </c>
      <c r="CI33" s="5">
        <v>145</v>
      </c>
      <c r="CJ33" s="5">
        <v>121</v>
      </c>
      <c r="CK33" s="5">
        <v>126</v>
      </c>
      <c r="CL33" s="5">
        <v>112</v>
      </c>
      <c r="CM33" s="5">
        <v>120</v>
      </c>
      <c r="CN33" s="5">
        <v>116</v>
      </c>
      <c r="CO33" s="5">
        <v>126</v>
      </c>
      <c r="CP33" s="5">
        <v>157</v>
      </c>
      <c r="CQ33" s="5">
        <v>156</v>
      </c>
      <c r="CR33" s="5">
        <v>170</v>
      </c>
      <c r="CS33" s="5">
        <v>186</v>
      </c>
      <c r="CT33" s="1">
        <v>142</v>
      </c>
      <c r="CU33" s="1">
        <v>126</v>
      </c>
      <c r="CV33" s="1">
        <v>166</v>
      </c>
      <c r="CW33" s="1">
        <v>149</v>
      </c>
    </row>
    <row r="34" spans="1:101" s="5" customFormat="1" ht="13">
      <c r="A34" s="26" t="s">
        <v>151</v>
      </c>
      <c r="B34" s="5">
        <v>396</v>
      </c>
      <c r="C34" s="5">
        <v>432</v>
      </c>
      <c r="D34" s="5">
        <v>491</v>
      </c>
      <c r="E34" s="5">
        <v>451</v>
      </c>
      <c r="F34" s="5">
        <v>404</v>
      </c>
      <c r="G34" s="5">
        <v>378</v>
      </c>
      <c r="H34" s="5">
        <v>322</v>
      </c>
      <c r="I34" s="5">
        <v>318</v>
      </c>
      <c r="J34" s="5">
        <v>260</v>
      </c>
      <c r="K34" s="5">
        <v>277</v>
      </c>
      <c r="L34" s="5">
        <v>256</v>
      </c>
      <c r="M34" s="5">
        <v>277</v>
      </c>
      <c r="N34" s="5">
        <v>271</v>
      </c>
      <c r="O34" s="5">
        <v>333</v>
      </c>
      <c r="P34" s="47">
        <v>299</v>
      </c>
      <c r="Q34" s="47">
        <v>277</v>
      </c>
      <c r="R34" s="47">
        <v>287</v>
      </c>
      <c r="S34" s="47">
        <v>243</v>
      </c>
      <c r="T34" s="5">
        <v>275</v>
      </c>
      <c r="U34" s="5">
        <v>269</v>
      </c>
      <c r="V34" s="5">
        <v>281</v>
      </c>
      <c r="W34" s="5">
        <v>304</v>
      </c>
      <c r="X34" s="5">
        <v>327</v>
      </c>
      <c r="Y34" s="5">
        <v>322</v>
      </c>
      <c r="Z34" s="5">
        <v>321</v>
      </c>
      <c r="AA34" s="5">
        <v>308</v>
      </c>
      <c r="AB34" s="5">
        <v>290</v>
      </c>
      <c r="AC34" s="5">
        <v>283</v>
      </c>
      <c r="AD34" s="5">
        <v>269</v>
      </c>
      <c r="AE34" s="5">
        <v>274</v>
      </c>
      <c r="AF34" s="5">
        <v>244</v>
      </c>
      <c r="AG34" s="5">
        <v>260</v>
      </c>
      <c r="AH34" s="5">
        <v>223</v>
      </c>
      <c r="AI34" s="5">
        <v>263</v>
      </c>
      <c r="AJ34" s="5">
        <v>252</v>
      </c>
      <c r="AK34" s="5">
        <v>233</v>
      </c>
      <c r="AL34" s="5">
        <v>291</v>
      </c>
      <c r="AM34" s="5">
        <v>266</v>
      </c>
      <c r="AN34" s="5">
        <v>293</v>
      </c>
      <c r="AO34" s="5">
        <v>285</v>
      </c>
      <c r="AP34" s="5">
        <v>234</v>
      </c>
      <c r="AQ34" s="5">
        <v>235</v>
      </c>
      <c r="AR34" s="5">
        <v>277</v>
      </c>
      <c r="AS34" s="5">
        <v>264</v>
      </c>
      <c r="AT34" s="5">
        <v>252</v>
      </c>
      <c r="AU34" s="5">
        <v>276</v>
      </c>
      <c r="AV34" s="1">
        <v>303</v>
      </c>
      <c r="AW34" s="1">
        <v>376</v>
      </c>
      <c r="AX34" s="1">
        <v>389</v>
      </c>
      <c r="AY34" s="1">
        <v>384</v>
      </c>
      <c r="AZ34" s="88">
        <v>45</v>
      </c>
      <c r="BA34" s="5">
        <v>62</v>
      </c>
      <c r="BB34" s="5">
        <v>82</v>
      </c>
      <c r="BC34" s="5">
        <v>73</v>
      </c>
      <c r="BD34" s="5">
        <v>77</v>
      </c>
      <c r="BE34" s="5">
        <v>87</v>
      </c>
      <c r="BF34" s="5">
        <v>87</v>
      </c>
      <c r="BG34" s="5">
        <v>93</v>
      </c>
      <c r="BH34" s="5">
        <v>71</v>
      </c>
      <c r="BI34" s="5">
        <v>98</v>
      </c>
      <c r="BJ34" s="5">
        <v>90</v>
      </c>
      <c r="BK34" s="5">
        <v>128</v>
      </c>
      <c r="BL34" s="5">
        <v>121</v>
      </c>
      <c r="BM34" s="5">
        <v>124</v>
      </c>
      <c r="BN34" s="5">
        <v>161</v>
      </c>
      <c r="BO34" s="5">
        <v>144</v>
      </c>
      <c r="BP34" s="5">
        <v>146</v>
      </c>
      <c r="BQ34" s="5">
        <v>106</v>
      </c>
      <c r="BR34" s="5">
        <v>134</v>
      </c>
      <c r="BS34" s="5">
        <v>145</v>
      </c>
      <c r="BT34" s="5">
        <v>171</v>
      </c>
      <c r="BU34" s="5">
        <v>132</v>
      </c>
      <c r="BV34" s="5">
        <v>184</v>
      </c>
      <c r="BW34" s="5">
        <v>213</v>
      </c>
      <c r="BX34" s="5">
        <v>210</v>
      </c>
      <c r="BY34" s="5">
        <v>185</v>
      </c>
      <c r="BZ34" s="5">
        <v>186</v>
      </c>
      <c r="CA34" s="5">
        <v>221</v>
      </c>
      <c r="CB34" s="5">
        <v>189</v>
      </c>
      <c r="CC34" s="5">
        <v>154</v>
      </c>
      <c r="CD34" s="5">
        <v>178</v>
      </c>
      <c r="CE34" s="5">
        <v>203</v>
      </c>
      <c r="CF34" s="5">
        <v>195</v>
      </c>
      <c r="CG34" s="5">
        <v>236</v>
      </c>
      <c r="CH34" s="5">
        <v>252</v>
      </c>
      <c r="CI34" s="5">
        <v>244</v>
      </c>
      <c r="CJ34" s="5">
        <v>286</v>
      </c>
      <c r="CK34" s="5">
        <v>288</v>
      </c>
      <c r="CL34" s="5">
        <v>285</v>
      </c>
      <c r="CM34" s="5">
        <v>286</v>
      </c>
      <c r="CN34" s="5">
        <v>210</v>
      </c>
      <c r="CO34" s="5">
        <v>203</v>
      </c>
      <c r="CP34" s="5">
        <v>234</v>
      </c>
      <c r="CQ34" s="5">
        <v>249</v>
      </c>
      <c r="CR34" s="5">
        <v>247</v>
      </c>
      <c r="CS34" s="5">
        <v>261</v>
      </c>
      <c r="CT34" s="1">
        <v>251</v>
      </c>
      <c r="CU34" s="1">
        <v>307</v>
      </c>
      <c r="CV34" s="1">
        <v>379</v>
      </c>
      <c r="CW34" s="1">
        <v>431</v>
      </c>
    </row>
    <row r="35" spans="1:101" s="5" customFormat="1" ht="13">
      <c r="A35" s="26" t="s">
        <v>155</v>
      </c>
      <c r="B35" s="5">
        <v>379</v>
      </c>
      <c r="C35" s="5">
        <v>367</v>
      </c>
      <c r="D35" s="5">
        <v>442</v>
      </c>
      <c r="E35" s="5">
        <v>412</v>
      </c>
      <c r="F35" s="5">
        <v>395</v>
      </c>
      <c r="G35" s="5">
        <v>376</v>
      </c>
      <c r="H35" s="5">
        <v>341</v>
      </c>
      <c r="I35" s="5">
        <v>370</v>
      </c>
      <c r="J35" s="5">
        <v>284</v>
      </c>
      <c r="K35" s="5">
        <v>306</v>
      </c>
      <c r="L35" s="5">
        <v>343</v>
      </c>
      <c r="M35" s="5">
        <v>292</v>
      </c>
      <c r="N35" s="5">
        <v>295</v>
      </c>
      <c r="O35" s="5">
        <v>270</v>
      </c>
      <c r="P35" s="47">
        <v>277</v>
      </c>
      <c r="Q35" s="47">
        <v>267</v>
      </c>
      <c r="R35" s="47">
        <v>247</v>
      </c>
      <c r="S35" s="47">
        <v>258</v>
      </c>
      <c r="T35" s="5">
        <v>301</v>
      </c>
      <c r="U35" s="5">
        <v>263</v>
      </c>
      <c r="V35" s="5">
        <v>254</v>
      </c>
      <c r="W35" s="5">
        <v>260</v>
      </c>
      <c r="X35" s="5">
        <v>268</v>
      </c>
      <c r="Y35" s="5">
        <v>271</v>
      </c>
      <c r="Z35" s="5">
        <v>229</v>
      </c>
      <c r="AA35" s="5">
        <v>255</v>
      </c>
      <c r="AB35" s="5">
        <v>275</v>
      </c>
      <c r="AC35" s="5">
        <v>251</v>
      </c>
      <c r="AD35" s="5">
        <v>242</v>
      </c>
      <c r="AE35" s="5">
        <v>264</v>
      </c>
      <c r="AF35" s="5">
        <v>231</v>
      </c>
      <c r="AG35" s="5">
        <v>216</v>
      </c>
      <c r="AH35" s="5">
        <v>217</v>
      </c>
      <c r="AI35" s="5">
        <v>216</v>
      </c>
      <c r="AJ35" s="5">
        <v>251</v>
      </c>
      <c r="AK35" s="5">
        <v>230</v>
      </c>
      <c r="AL35" s="5">
        <v>279</v>
      </c>
      <c r="AM35" s="5">
        <v>305</v>
      </c>
      <c r="AN35" s="5">
        <v>331</v>
      </c>
      <c r="AO35" s="5">
        <v>282</v>
      </c>
      <c r="AP35" s="5">
        <v>263</v>
      </c>
      <c r="AQ35" s="5">
        <v>315</v>
      </c>
      <c r="AR35" s="5">
        <v>353</v>
      </c>
      <c r="AS35" s="5">
        <v>350</v>
      </c>
      <c r="AT35" s="5">
        <v>333</v>
      </c>
      <c r="AU35" s="5">
        <v>379</v>
      </c>
      <c r="AV35" s="1">
        <v>353</v>
      </c>
      <c r="AW35" s="1">
        <v>340</v>
      </c>
      <c r="AX35" s="1">
        <v>324</v>
      </c>
      <c r="AY35" s="1">
        <v>358</v>
      </c>
      <c r="AZ35" s="88">
        <v>34</v>
      </c>
      <c r="BA35" s="5">
        <v>27</v>
      </c>
      <c r="BB35" s="5">
        <v>49</v>
      </c>
      <c r="BC35" s="5">
        <v>48</v>
      </c>
      <c r="BD35" s="5">
        <v>47</v>
      </c>
      <c r="BE35" s="5">
        <v>79</v>
      </c>
      <c r="BF35" s="5">
        <v>66</v>
      </c>
      <c r="BG35" s="5">
        <v>75</v>
      </c>
      <c r="BH35" s="5">
        <v>73</v>
      </c>
      <c r="BI35" s="5">
        <v>87</v>
      </c>
      <c r="BJ35" s="5">
        <v>110</v>
      </c>
      <c r="BK35" s="5">
        <v>91</v>
      </c>
      <c r="BL35" s="5">
        <v>113</v>
      </c>
      <c r="BM35" s="5">
        <v>101</v>
      </c>
      <c r="BN35" s="5">
        <v>94</v>
      </c>
      <c r="BO35" s="5">
        <v>91</v>
      </c>
      <c r="BP35" s="5">
        <v>124</v>
      </c>
      <c r="BQ35" s="5">
        <v>103</v>
      </c>
      <c r="BR35" s="5">
        <v>117</v>
      </c>
      <c r="BS35" s="5">
        <v>104</v>
      </c>
      <c r="BT35" s="5">
        <v>107</v>
      </c>
      <c r="BU35" s="5">
        <v>96</v>
      </c>
      <c r="BV35" s="5">
        <v>110</v>
      </c>
      <c r="BW35" s="5">
        <v>105</v>
      </c>
      <c r="BX35" s="5">
        <v>109</v>
      </c>
      <c r="BY35" s="5">
        <v>103</v>
      </c>
      <c r="BZ35" s="5">
        <v>127</v>
      </c>
      <c r="CA35" s="5">
        <v>136</v>
      </c>
      <c r="CB35" s="5">
        <v>115</v>
      </c>
      <c r="CC35" s="5">
        <v>112</v>
      </c>
      <c r="CD35" s="5">
        <v>119</v>
      </c>
      <c r="CE35" s="5">
        <v>120</v>
      </c>
      <c r="CF35" s="5">
        <v>133</v>
      </c>
      <c r="CG35" s="5">
        <v>120</v>
      </c>
      <c r="CH35" s="5">
        <v>111</v>
      </c>
      <c r="CI35" s="5">
        <v>143</v>
      </c>
      <c r="CJ35" s="5">
        <v>157</v>
      </c>
      <c r="CK35" s="5">
        <v>205</v>
      </c>
      <c r="CL35" s="5">
        <v>239</v>
      </c>
      <c r="CM35" s="5">
        <v>192</v>
      </c>
      <c r="CN35" s="5">
        <v>174</v>
      </c>
      <c r="CO35" s="5">
        <v>196</v>
      </c>
      <c r="CP35" s="5">
        <v>283</v>
      </c>
      <c r="CQ35" s="5">
        <v>217</v>
      </c>
      <c r="CR35" s="5">
        <v>236</v>
      </c>
      <c r="CS35" s="5">
        <v>232</v>
      </c>
      <c r="CT35" s="1">
        <v>215</v>
      </c>
      <c r="CU35" s="1">
        <v>213</v>
      </c>
      <c r="CV35" s="1">
        <v>244</v>
      </c>
      <c r="CW35" s="1">
        <v>243</v>
      </c>
    </row>
    <row r="36" spans="1:101" s="5" customFormat="1" ht="13">
      <c r="A36" s="26" t="s">
        <v>67</v>
      </c>
      <c r="B36" s="5">
        <v>426</v>
      </c>
      <c r="C36" s="5">
        <v>503</v>
      </c>
      <c r="D36" s="5">
        <v>479</v>
      </c>
      <c r="E36" s="5">
        <v>528</v>
      </c>
      <c r="F36" s="5">
        <v>454</v>
      </c>
      <c r="G36" s="5">
        <v>427</v>
      </c>
      <c r="H36" s="5">
        <v>416</v>
      </c>
      <c r="I36" s="5">
        <v>363</v>
      </c>
      <c r="J36" s="5">
        <v>351</v>
      </c>
      <c r="K36" s="5">
        <v>384</v>
      </c>
      <c r="L36" s="5">
        <v>366</v>
      </c>
      <c r="M36" s="5">
        <v>358</v>
      </c>
      <c r="N36" s="5">
        <v>364</v>
      </c>
      <c r="O36" s="5">
        <v>387</v>
      </c>
      <c r="P36" s="47">
        <v>376</v>
      </c>
      <c r="Q36" s="47">
        <v>353</v>
      </c>
      <c r="R36" s="47">
        <v>355</v>
      </c>
      <c r="S36" s="47">
        <v>397</v>
      </c>
      <c r="T36" s="5">
        <v>389</v>
      </c>
      <c r="U36" s="5">
        <v>375</v>
      </c>
      <c r="V36" s="5">
        <v>405</v>
      </c>
      <c r="W36" s="5">
        <v>430</v>
      </c>
      <c r="X36" s="5">
        <v>366</v>
      </c>
      <c r="Y36" s="5">
        <v>395</v>
      </c>
      <c r="Z36" s="5">
        <v>463</v>
      </c>
      <c r="AA36" s="5">
        <v>436</v>
      </c>
      <c r="AB36" s="5">
        <v>412</v>
      </c>
      <c r="AC36" s="5">
        <v>426</v>
      </c>
      <c r="AD36" s="5">
        <v>409</v>
      </c>
      <c r="AE36" s="5">
        <v>401</v>
      </c>
      <c r="AF36" s="5">
        <v>365</v>
      </c>
      <c r="AG36" s="5">
        <v>391</v>
      </c>
      <c r="AH36" s="5">
        <v>367</v>
      </c>
      <c r="AI36" s="5">
        <v>339</v>
      </c>
      <c r="AJ36" s="5">
        <v>421</v>
      </c>
      <c r="AK36" s="5">
        <v>406</v>
      </c>
      <c r="AL36" s="5">
        <v>477</v>
      </c>
      <c r="AM36" s="5">
        <v>473</v>
      </c>
      <c r="AN36" s="5">
        <v>452</v>
      </c>
      <c r="AO36" s="5">
        <v>459</v>
      </c>
      <c r="AP36" s="5">
        <v>463</v>
      </c>
      <c r="AQ36" s="5">
        <v>476</v>
      </c>
      <c r="AR36" s="5">
        <v>549</v>
      </c>
      <c r="AS36" s="5">
        <v>542</v>
      </c>
      <c r="AT36" s="5">
        <v>531</v>
      </c>
      <c r="AU36" s="5">
        <v>530</v>
      </c>
      <c r="AV36" s="1">
        <v>495</v>
      </c>
      <c r="AW36" s="1">
        <v>494</v>
      </c>
      <c r="AX36" s="1">
        <v>524</v>
      </c>
      <c r="AY36" s="1">
        <v>552</v>
      </c>
      <c r="AZ36" s="88">
        <v>40</v>
      </c>
      <c r="BA36" s="5">
        <v>71</v>
      </c>
      <c r="BB36" s="5">
        <v>62</v>
      </c>
      <c r="BC36" s="5">
        <v>85</v>
      </c>
      <c r="BD36" s="5">
        <v>84</v>
      </c>
      <c r="BE36" s="5">
        <v>112</v>
      </c>
      <c r="BF36" s="5">
        <v>96</v>
      </c>
      <c r="BG36" s="5">
        <v>99</v>
      </c>
      <c r="BH36" s="5">
        <v>102</v>
      </c>
      <c r="BI36" s="5">
        <v>127</v>
      </c>
      <c r="BJ36" s="5">
        <v>146</v>
      </c>
      <c r="BK36" s="5">
        <v>135</v>
      </c>
      <c r="BL36" s="5">
        <v>167</v>
      </c>
      <c r="BM36" s="5">
        <v>186</v>
      </c>
      <c r="BN36" s="5">
        <v>174</v>
      </c>
      <c r="BO36" s="5">
        <v>161</v>
      </c>
      <c r="BP36" s="5">
        <v>172</v>
      </c>
      <c r="BQ36" s="5">
        <v>202</v>
      </c>
      <c r="BR36" s="5">
        <v>187</v>
      </c>
      <c r="BS36" s="5">
        <v>208</v>
      </c>
      <c r="BT36" s="5">
        <v>227</v>
      </c>
      <c r="BU36" s="5">
        <v>226</v>
      </c>
      <c r="BV36" s="5">
        <v>228</v>
      </c>
      <c r="BW36" s="5">
        <v>223</v>
      </c>
      <c r="BX36" s="5">
        <v>233</v>
      </c>
      <c r="BY36" s="5">
        <v>251</v>
      </c>
      <c r="BZ36" s="5">
        <v>278</v>
      </c>
      <c r="CA36" s="5">
        <v>309</v>
      </c>
      <c r="CB36" s="5">
        <v>298</v>
      </c>
      <c r="CC36" s="5">
        <v>310</v>
      </c>
      <c r="CD36" s="5">
        <v>282</v>
      </c>
      <c r="CE36" s="5">
        <v>271</v>
      </c>
      <c r="CF36" s="5">
        <v>287</v>
      </c>
      <c r="CG36" s="5">
        <v>324</v>
      </c>
      <c r="CH36" s="5">
        <v>308</v>
      </c>
      <c r="CI36" s="5">
        <v>387</v>
      </c>
      <c r="CJ36" s="5">
        <v>414</v>
      </c>
      <c r="CK36" s="5">
        <v>461</v>
      </c>
      <c r="CL36" s="5">
        <v>433</v>
      </c>
      <c r="CM36" s="5">
        <v>493</v>
      </c>
      <c r="CN36" s="5">
        <v>476</v>
      </c>
      <c r="CO36" s="5">
        <v>531</v>
      </c>
      <c r="CP36" s="5">
        <v>513</v>
      </c>
      <c r="CQ36" s="5">
        <v>579</v>
      </c>
      <c r="CR36" s="5">
        <v>458</v>
      </c>
      <c r="CS36" s="5">
        <v>498</v>
      </c>
      <c r="CT36" s="1">
        <v>512</v>
      </c>
      <c r="CU36" s="1">
        <v>517</v>
      </c>
      <c r="CV36" s="1">
        <v>514</v>
      </c>
      <c r="CW36" s="1">
        <v>553</v>
      </c>
    </row>
    <row r="37" spans="1:101" s="5" customFormat="1" ht="13">
      <c r="A37" s="25" t="s">
        <v>158</v>
      </c>
      <c r="B37" s="5">
        <v>63</v>
      </c>
      <c r="C37" s="5">
        <v>83</v>
      </c>
      <c r="D37" s="5">
        <v>74</v>
      </c>
      <c r="E37" s="5">
        <v>70</v>
      </c>
      <c r="F37" s="5">
        <v>81</v>
      </c>
      <c r="G37" s="5">
        <v>69</v>
      </c>
      <c r="H37" s="5">
        <v>48</v>
      </c>
      <c r="I37" s="5">
        <v>61</v>
      </c>
      <c r="J37" s="5">
        <v>53</v>
      </c>
      <c r="K37" s="5">
        <v>41</v>
      </c>
      <c r="L37" s="5">
        <v>64</v>
      </c>
      <c r="M37" s="5">
        <v>59</v>
      </c>
      <c r="N37" s="5">
        <v>48</v>
      </c>
      <c r="O37" s="5">
        <v>40</v>
      </c>
      <c r="P37" s="47">
        <v>40</v>
      </c>
      <c r="Q37" s="47">
        <v>91</v>
      </c>
      <c r="R37" s="47">
        <v>53</v>
      </c>
      <c r="S37" s="47">
        <v>58</v>
      </c>
      <c r="T37" s="5">
        <v>49</v>
      </c>
      <c r="U37" s="5">
        <v>60</v>
      </c>
      <c r="V37" s="5">
        <v>44</v>
      </c>
      <c r="W37" s="5">
        <v>47</v>
      </c>
      <c r="X37" s="5">
        <v>39</v>
      </c>
      <c r="Y37" s="5">
        <v>35</v>
      </c>
      <c r="Z37" s="5">
        <v>38</v>
      </c>
      <c r="AA37" s="5">
        <v>44</v>
      </c>
      <c r="AB37" s="5">
        <v>51</v>
      </c>
      <c r="AC37" s="5">
        <v>62</v>
      </c>
      <c r="AD37" s="5">
        <v>42</v>
      </c>
      <c r="AE37" s="5">
        <v>42</v>
      </c>
      <c r="AF37" s="5">
        <v>44</v>
      </c>
      <c r="AG37" s="5">
        <v>41</v>
      </c>
      <c r="AH37" s="5">
        <v>33</v>
      </c>
      <c r="AI37" s="5">
        <v>33</v>
      </c>
      <c r="AJ37" s="5">
        <v>25</v>
      </c>
      <c r="AK37" s="5">
        <v>30</v>
      </c>
      <c r="AL37" s="5">
        <v>34</v>
      </c>
      <c r="AM37" s="5">
        <v>38</v>
      </c>
      <c r="AN37" s="5">
        <v>48</v>
      </c>
      <c r="AO37" s="5">
        <v>31</v>
      </c>
      <c r="AP37" s="5">
        <v>34</v>
      </c>
      <c r="AQ37" s="5">
        <v>44</v>
      </c>
      <c r="AR37" s="5">
        <v>44</v>
      </c>
      <c r="AS37" s="5">
        <v>51</v>
      </c>
      <c r="AT37" s="5">
        <v>63</v>
      </c>
      <c r="AU37" s="5">
        <v>56</v>
      </c>
      <c r="AV37" s="1">
        <v>58</v>
      </c>
      <c r="AW37" s="1">
        <v>66</v>
      </c>
      <c r="AX37" s="1">
        <v>64</v>
      </c>
      <c r="AY37" s="1">
        <v>54</v>
      </c>
      <c r="AZ37" s="88">
        <v>4</v>
      </c>
      <c r="BA37" s="5">
        <v>5</v>
      </c>
      <c r="BB37" s="5">
        <v>4</v>
      </c>
      <c r="BC37" s="5">
        <v>3</v>
      </c>
      <c r="BD37" s="5">
        <v>4</v>
      </c>
      <c r="BE37" s="5">
        <v>9</v>
      </c>
      <c r="BF37" s="5">
        <v>9</v>
      </c>
      <c r="BG37" s="5">
        <v>8</v>
      </c>
      <c r="BH37" s="5">
        <v>5</v>
      </c>
      <c r="BI37" s="5">
        <v>14</v>
      </c>
      <c r="BJ37" s="5">
        <v>12</v>
      </c>
      <c r="BK37" s="5">
        <v>19</v>
      </c>
      <c r="BL37" s="5">
        <v>16</v>
      </c>
      <c r="BM37" s="5">
        <v>9</v>
      </c>
      <c r="BN37" s="5">
        <v>15</v>
      </c>
      <c r="BO37" s="5">
        <v>31</v>
      </c>
      <c r="BP37" s="5">
        <v>22</v>
      </c>
      <c r="BQ37" s="5">
        <v>10</v>
      </c>
      <c r="BR37" s="5">
        <v>24</v>
      </c>
      <c r="BS37" s="5">
        <v>13</v>
      </c>
      <c r="BT37" s="5">
        <v>14</v>
      </c>
      <c r="BU37" s="5">
        <v>20</v>
      </c>
      <c r="BV37" s="5">
        <v>11</v>
      </c>
      <c r="BW37" s="5">
        <v>15</v>
      </c>
      <c r="BX37" s="5">
        <v>35</v>
      </c>
      <c r="BY37" s="5">
        <v>19</v>
      </c>
      <c r="BZ37" s="5">
        <v>27</v>
      </c>
      <c r="CA37" s="5">
        <v>17</v>
      </c>
      <c r="CB37" s="5">
        <v>22</v>
      </c>
      <c r="CC37" s="5">
        <v>21</v>
      </c>
      <c r="CD37" s="5">
        <v>29</v>
      </c>
      <c r="CE37" s="5">
        <v>29</v>
      </c>
      <c r="CF37" s="5">
        <v>22</v>
      </c>
      <c r="CG37" s="5">
        <v>23</v>
      </c>
      <c r="CH37" s="5">
        <v>17</v>
      </c>
      <c r="CI37" s="5">
        <v>22</v>
      </c>
      <c r="CJ37" s="5">
        <v>25</v>
      </c>
      <c r="CK37" s="5">
        <v>23</v>
      </c>
      <c r="CL37" s="5">
        <v>26</v>
      </c>
      <c r="CM37" s="5">
        <v>38</v>
      </c>
      <c r="CN37" s="5">
        <v>35</v>
      </c>
      <c r="CO37" s="5">
        <v>21</v>
      </c>
      <c r="CP37" s="5">
        <v>28</v>
      </c>
      <c r="CQ37" s="5">
        <v>30</v>
      </c>
      <c r="CR37" s="5">
        <v>44</v>
      </c>
      <c r="CS37" s="5">
        <v>37</v>
      </c>
      <c r="CT37" s="1">
        <v>41</v>
      </c>
      <c r="CU37" s="1">
        <v>40</v>
      </c>
      <c r="CV37" s="1">
        <v>49</v>
      </c>
      <c r="CW37" s="1">
        <v>52</v>
      </c>
    </row>
    <row r="38" spans="1:101">
      <c r="A38" s="37" t="s">
        <v>211</v>
      </c>
      <c r="B38" s="38">
        <f t="shared" ref="B38:BV38" si="40">SUM(B40:B51)</f>
        <v>8380</v>
      </c>
      <c r="C38" s="38">
        <f t="shared" si="40"/>
        <v>9007</v>
      </c>
      <c r="D38" s="38">
        <f t="shared" si="40"/>
        <v>8702</v>
      </c>
      <c r="E38" s="38">
        <f t="shared" si="40"/>
        <v>8661</v>
      </c>
      <c r="F38" s="38">
        <f t="shared" si="40"/>
        <v>8292</v>
      </c>
      <c r="G38" s="38">
        <f t="shared" si="40"/>
        <v>8134</v>
      </c>
      <c r="H38" s="38">
        <f t="shared" si="40"/>
        <v>7591</v>
      </c>
      <c r="I38" s="38">
        <f t="shared" si="40"/>
        <v>7222</v>
      </c>
      <c r="J38" s="38">
        <f t="shared" si="40"/>
        <v>6779</v>
      </c>
      <c r="K38" s="38">
        <f t="shared" si="40"/>
        <v>6650</v>
      </c>
      <c r="L38" s="38">
        <f t="shared" si="40"/>
        <v>6377</v>
      </c>
      <c r="M38" s="38">
        <f t="shared" si="40"/>
        <v>6299</v>
      </c>
      <c r="N38" s="38">
        <f t="shared" si="40"/>
        <v>6346</v>
      </c>
      <c r="O38" s="38">
        <f t="shared" si="40"/>
        <v>6040</v>
      </c>
      <c r="P38" s="38">
        <f t="shared" si="40"/>
        <v>6175</v>
      </c>
      <c r="Q38" s="38">
        <f t="shared" si="40"/>
        <v>6072</v>
      </c>
      <c r="R38" s="38">
        <f t="shared" si="40"/>
        <v>5863</v>
      </c>
      <c r="S38" s="38">
        <f t="shared" si="40"/>
        <v>6027</v>
      </c>
      <c r="T38" s="38">
        <f t="shared" si="40"/>
        <v>6034</v>
      </c>
      <c r="U38" s="38">
        <f t="shared" si="40"/>
        <v>6226</v>
      </c>
      <c r="V38" s="38">
        <f t="shared" si="40"/>
        <v>6539</v>
      </c>
      <c r="W38" s="38">
        <f t="shared" si="40"/>
        <v>6707</v>
      </c>
      <c r="X38" s="38">
        <f t="shared" si="40"/>
        <v>6922</v>
      </c>
      <c r="Y38" s="38">
        <f t="shared" si="40"/>
        <v>6898</v>
      </c>
      <c r="Z38" s="38">
        <f t="shared" si="40"/>
        <v>7146</v>
      </c>
      <c r="AA38" s="38">
        <f t="shared" si="40"/>
        <v>7211</v>
      </c>
      <c r="AB38" s="38">
        <f t="shared" si="40"/>
        <v>7198</v>
      </c>
      <c r="AC38" s="38">
        <f t="shared" si="40"/>
        <v>7092</v>
      </c>
      <c r="AD38" s="38">
        <f t="shared" si="40"/>
        <v>7024</v>
      </c>
      <c r="AE38" s="38">
        <f t="shared" si="40"/>
        <v>6406</v>
      </c>
      <c r="AF38" s="38">
        <f t="shared" si="40"/>
        <v>6504</v>
      </c>
      <c r="AG38" s="38">
        <f t="shared" si="40"/>
        <v>6479</v>
      </c>
      <c r="AH38" s="38">
        <f t="shared" si="40"/>
        <v>6112</v>
      </c>
      <c r="AI38" s="38">
        <f t="shared" si="40"/>
        <v>6219</v>
      </c>
      <c r="AJ38" s="38">
        <f t="shared" si="40"/>
        <v>6285</v>
      </c>
      <c r="AK38" s="38">
        <f t="shared" si="40"/>
        <v>6778</v>
      </c>
      <c r="AL38" s="38">
        <f t="shared" si="40"/>
        <v>7190</v>
      </c>
      <c r="AM38" s="38">
        <f t="shared" si="40"/>
        <v>7602</v>
      </c>
      <c r="AN38" s="38">
        <f t="shared" si="40"/>
        <v>7624</v>
      </c>
      <c r="AO38" s="38">
        <f t="shared" si="40"/>
        <v>7451</v>
      </c>
      <c r="AP38" s="38">
        <f t="shared" ref="AP38:AQ38" si="41">SUM(AP40:AP51)</f>
        <v>7282</v>
      </c>
      <c r="AQ38" s="38">
        <f t="shared" si="41"/>
        <v>7120</v>
      </c>
      <c r="AR38" s="38">
        <f t="shared" ref="AR38:AS38" si="42">SUM(AR40:AR51)</f>
        <v>7059</v>
      </c>
      <c r="AS38" s="38">
        <f t="shared" si="42"/>
        <v>7440</v>
      </c>
      <c r="AT38" s="38">
        <f t="shared" ref="AT38:AY38" si="43">SUM(AT40:AT51)</f>
        <v>7656</v>
      </c>
      <c r="AU38" s="38">
        <f t="shared" si="43"/>
        <v>7836</v>
      </c>
      <c r="AV38" s="38">
        <f t="shared" si="43"/>
        <v>7788</v>
      </c>
      <c r="AW38" s="38">
        <f t="shared" si="43"/>
        <v>8105</v>
      </c>
      <c r="AX38" s="38">
        <f t="shared" si="43"/>
        <v>8040</v>
      </c>
      <c r="AY38" s="38">
        <f t="shared" si="43"/>
        <v>8045</v>
      </c>
      <c r="AZ38" s="60">
        <f t="shared" si="40"/>
        <v>1137</v>
      </c>
      <c r="BA38" s="38">
        <f t="shared" si="40"/>
        <v>1346</v>
      </c>
      <c r="BB38" s="38">
        <f t="shared" si="40"/>
        <v>1503</v>
      </c>
      <c r="BC38" s="38">
        <f t="shared" si="40"/>
        <v>1751</v>
      </c>
      <c r="BD38" s="38">
        <f t="shared" si="40"/>
        <v>1817</v>
      </c>
      <c r="BE38" s="38">
        <f t="shared" si="40"/>
        <v>1999</v>
      </c>
      <c r="BF38" s="38">
        <f t="shared" si="40"/>
        <v>2129</v>
      </c>
      <c r="BG38" s="38">
        <f t="shared" si="40"/>
        <v>2169</v>
      </c>
      <c r="BH38" s="38">
        <f t="shared" si="40"/>
        <v>2197</v>
      </c>
      <c r="BI38" s="38">
        <f t="shared" si="40"/>
        <v>2508</v>
      </c>
      <c r="BJ38" s="38">
        <f t="shared" si="40"/>
        <v>2513</v>
      </c>
      <c r="BK38" s="38">
        <f t="shared" si="40"/>
        <v>2690</v>
      </c>
      <c r="BL38" s="38">
        <f t="shared" si="40"/>
        <v>2665</v>
      </c>
      <c r="BM38" s="38">
        <f t="shared" si="40"/>
        <v>2682</v>
      </c>
      <c r="BN38" s="38">
        <f t="shared" si="40"/>
        <v>2818</v>
      </c>
      <c r="BO38" s="38">
        <f t="shared" si="40"/>
        <v>2898</v>
      </c>
      <c r="BP38" s="38">
        <f t="shared" si="40"/>
        <v>2984</v>
      </c>
      <c r="BQ38" s="38">
        <f t="shared" si="40"/>
        <v>3149</v>
      </c>
      <c r="BR38" s="38">
        <f t="shared" si="40"/>
        <v>3053</v>
      </c>
      <c r="BS38" s="38">
        <f t="shared" si="40"/>
        <v>3167</v>
      </c>
      <c r="BT38" s="38">
        <f t="shared" si="40"/>
        <v>3458</v>
      </c>
      <c r="BU38" s="38">
        <f t="shared" si="40"/>
        <v>3740</v>
      </c>
      <c r="BV38" s="38">
        <f t="shared" si="40"/>
        <v>3886</v>
      </c>
      <c r="BW38" s="38">
        <f t="shared" ref="BW38:CM38" si="44">SUM(BW40:BW51)</f>
        <v>3966</v>
      </c>
      <c r="BX38" s="38">
        <f t="shared" si="44"/>
        <v>4292</v>
      </c>
      <c r="BY38" s="38">
        <f t="shared" si="44"/>
        <v>4583</v>
      </c>
      <c r="BZ38" s="38">
        <f t="shared" si="44"/>
        <v>4732</v>
      </c>
      <c r="CA38" s="38">
        <f t="shared" si="44"/>
        <v>4850</v>
      </c>
      <c r="CB38" s="38">
        <f t="shared" si="44"/>
        <v>5026</v>
      </c>
      <c r="CC38" s="38">
        <f t="shared" si="44"/>
        <v>4786</v>
      </c>
      <c r="CD38" s="38">
        <f t="shared" si="44"/>
        <v>4857</v>
      </c>
      <c r="CE38" s="38">
        <f t="shared" si="44"/>
        <v>5079</v>
      </c>
      <c r="CF38" s="38">
        <f t="shared" si="44"/>
        <v>5001</v>
      </c>
      <c r="CG38" s="38">
        <f t="shared" si="44"/>
        <v>5364</v>
      </c>
      <c r="CH38" s="38">
        <f t="shared" si="44"/>
        <v>5415</v>
      </c>
      <c r="CI38" s="38">
        <f t="shared" si="44"/>
        <v>6335</v>
      </c>
      <c r="CJ38" s="38">
        <f t="shared" si="44"/>
        <v>6773</v>
      </c>
      <c r="CK38" s="38">
        <f t="shared" si="44"/>
        <v>7811</v>
      </c>
      <c r="CL38" s="38">
        <f t="shared" si="44"/>
        <v>7796</v>
      </c>
      <c r="CM38" s="38">
        <f t="shared" si="44"/>
        <v>7614</v>
      </c>
      <c r="CN38" s="38">
        <f t="shared" ref="CN38:CO38" si="45">SUM(CN40:CN51)</f>
        <v>6938</v>
      </c>
      <c r="CO38" s="38">
        <f t="shared" si="45"/>
        <v>6776</v>
      </c>
      <c r="CP38" s="38">
        <f t="shared" ref="CP38:CQ38" si="46">SUM(CP40:CP51)</f>
        <v>6496</v>
      </c>
      <c r="CQ38" s="38">
        <f t="shared" si="46"/>
        <v>6704</v>
      </c>
      <c r="CR38" s="38">
        <f t="shared" ref="CR38:CW38" si="47">SUM(CR40:CR51)</f>
        <v>6898</v>
      </c>
      <c r="CS38" s="38">
        <f t="shared" si="47"/>
        <v>7239</v>
      </c>
      <c r="CT38" s="38">
        <f t="shared" si="47"/>
        <v>7232</v>
      </c>
      <c r="CU38" s="38">
        <f t="shared" si="47"/>
        <v>7205</v>
      </c>
      <c r="CV38" s="38">
        <f t="shared" si="47"/>
        <v>7390</v>
      </c>
      <c r="CW38" s="38">
        <f t="shared" si="47"/>
        <v>7429</v>
      </c>
    </row>
    <row r="39" spans="1:101">
      <c r="A39" s="39" t="s">
        <v>213</v>
      </c>
      <c r="B39" s="40">
        <f t="shared" ref="B39:BV39" si="48">(B38/B4)*100</f>
        <v>32.382718911816987</v>
      </c>
      <c r="C39" s="40">
        <f t="shared" si="48"/>
        <v>32.739631420159213</v>
      </c>
      <c r="D39" s="40">
        <f t="shared" si="48"/>
        <v>30.991132162826311</v>
      </c>
      <c r="E39" s="40">
        <f t="shared" si="48"/>
        <v>30.323506757229886</v>
      </c>
      <c r="F39" s="40">
        <f t="shared" si="48"/>
        <v>30.321424653526897</v>
      </c>
      <c r="G39" s="40">
        <f t="shared" si="48"/>
        <v>30.350746268656714</v>
      </c>
      <c r="H39" s="40">
        <f t="shared" si="48"/>
        <v>28.93132098483116</v>
      </c>
      <c r="I39" s="40">
        <f t="shared" si="48"/>
        <v>28.741990687308473</v>
      </c>
      <c r="J39" s="40">
        <f t="shared" si="48"/>
        <v>28.665059833396761</v>
      </c>
      <c r="K39" s="40">
        <f t="shared" si="48"/>
        <v>28.266598656805236</v>
      </c>
      <c r="L39" s="40">
        <f t="shared" si="48"/>
        <v>27.813154221912072</v>
      </c>
      <c r="M39" s="40">
        <f t="shared" si="48"/>
        <v>27.750121150711486</v>
      </c>
      <c r="N39" s="40">
        <f t="shared" si="48"/>
        <v>28.57657495384338</v>
      </c>
      <c r="O39" s="40">
        <f t="shared" si="48"/>
        <v>27.589987209939704</v>
      </c>
      <c r="P39" s="40">
        <f t="shared" si="48"/>
        <v>28.008345806685718</v>
      </c>
      <c r="Q39" s="40">
        <f t="shared" si="48"/>
        <v>28.002213613724404</v>
      </c>
      <c r="R39" s="40">
        <f t="shared" si="48"/>
        <v>26.890794844746136</v>
      </c>
      <c r="S39" s="40">
        <f t="shared" si="48"/>
        <v>27.342013337567483</v>
      </c>
      <c r="T39" s="40">
        <f t="shared" si="48"/>
        <v>26.727498228206947</v>
      </c>
      <c r="U39" s="40">
        <f t="shared" si="48"/>
        <v>27.434564201991719</v>
      </c>
      <c r="V39" s="40">
        <f t="shared" si="48"/>
        <v>26.817864905877048</v>
      </c>
      <c r="W39" s="40">
        <f t="shared" si="48"/>
        <v>27.122002507177807</v>
      </c>
      <c r="X39" s="40">
        <f t="shared" si="48"/>
        <v>27.102584181675805</v>
      </c>
      <c r="Y39" s="40">
        <f t="shared" si="48"/>
        <v>26.479846449136275</v>
      </c>
      <c r="Z39" s="40">
        <f t="shared" si="48"/>
        <v>26.942653545978963</v>
      </c>
      <c r="AA39" s="40">
        <f t="shared" si="48"/>
        <v>26.825638927123247</v>
      </c>
      <c r="AB39" s="40">
        <f t="shared" si="48"/>
        <v>26.870240406152007</v>
      </c>
      <c r="AC39" s="40">
        <f t="shared" si="48"/>
        <v>26.161053524659707</v>
      </c>
      <c r="AD39" s="40">
        <f t="shared" si="48"/>
        <v>26.342634263426341</v>
      </c>
      <c r="AE39" s="40">
        <f t="shared" si="48"/>
        <v>25.475224687823111</v>
      </c>
      <c r="AF39" s="40">
        <f t="shared" si="48"/>
        <v>25.986894677960681</v>
      </c>
      <c r="AG39" s="40">
        <f t="shared" si="48"/>
        <v>26.201067615658364</v>
      </c>
      <c r="AH39" s="40">
        <f t="shared" si="48"/>
        <v>25.780327315674036</v>
      </c>
      <c r="AI39" s="40">
        <f t="shared" si="48"/>
        <v>25.538992238511764</v>
      </c>
      <c r="AJ39" s="40">
        <f t="shared" si="48"/>
        <v>24.836988737403676</v>
      </c>
      <c r="AK39" s="40">
        <f t="shared" si="48"/>
        <v>25.128832536239941</v>
      </c>
      <c r="AL39" s="40">
        <f t="shared" si="48"/>
        <v>25.201542236242553</v>
      </c>
      <c r="AM39" s="40">
        <f t="shared" si="48"/>
        <v>25.129747776932991</v>
      </c>
      <c r="AN39" s="40">
        <f t="shared" si="48"/>
        <v>25.020511305831771</v>
      </c>
      <c r="AO39" s="40">
        <f t="shared" si="48"/>
        <v>24.517933530766701</v>
      </c>
      <c r="AP39" s="40">
        <f t="shared" ref="AP39:AQ39" si="49">(AP38/AP4)*100</f>
        <v>25.188516084399858</v>
      </c>
      <c r="AQ39" s="40">
        <f t="shared" si="49"/>
        <v>23.961768863162145</v>
      </c>
      <c r="AR39" s="40">
        <f t="shared" ref="AR39:AS39" si="50">(AR38/AR4)*100</f>
        <v>23.071643352072165</v>
      </c>
      <c r="AS39" s="40">
        <f t="shared" si="50"/>
        <v>23.354364817779452</v>
      </c>
      <c r="AT39" s="40">
        <f t="shared" ref="AT39:AY39" si="51">(AT38/AT4)*100</f>
        <v>23.394243109454258</v>
      </c>
      <c r="AU39" s="40">
        <f t="shared" si="51"/>
        <v>23.493434070876056</v>
      </c>
      <c r="AV39" s="40">
        <f t="shared" si="51"/>
        <v>23.263038413286338</v>
      </c>
      <c r="AW39" s="40">
        <f t="shared" si="51"/>
        <v>23.862097391509156</v>
      </c>
      <c r="AX39" s="40">
        <f t="shared" si="51"/>
        <v>23.252451051276861</v>
      </c>
      <c r="AY39" s="40">
        <f t="shared" si="51"/>
        <v>22.935256720928244</v>
      </c>
      <c r="AZ39" s="61">
        <f t="shared" si="48"/>
        <v>28.596579476861166</v>
      </c>
      <c r="BA39" s="40">
        <f t="shared" si="48"/>
        <v>29.407909110771246</v>
      </c>
      <c r="BB39" s="40">
        <f t="shared" si="48"/>
        <v>28.503698084581831</v>
      </c>
      <c r="BC39" s="40">
        <f t="shared" si="48"/>
        <v>28.214631002255881</v>
      </c>
      <c r="BD39" s="40">
        <f t="shared" si="48"/>
        <v>28.166175786699739</v>
      </c>
      <c r="BE39" s="40">
        <f t="shared" si="48"/>
        <v>27.511698320946877</v>
      </c>
      <c r="BF39" s="40">
        <f t="shared" si="48"/>
        <v>27.305373861741693</v>
      </c>
      <c r="BG39" s="40">
        <f t="shared" si="48"/>
        <v>26.810877626699632</v>
      </c>
      <c r="BH39" s="40">
        <f t="shared" si="48"/>
        <v>25.92942287265431</v>
      </c>
      <c r="BI39" s="40">
        <f t="shared" si="48"/>
        <v>27.293503101534444</v>
      </c>
      <c r="BJ39" s="40">
        <f t="shared" si="48"/>
        <v>25.982216708023159</v>
      </c>
      <c r="BK39" s="40">
        <f t="shared" si="48"/>
        <v>26.251585829999023</v>
      </c>
      <c r="BL39" s="40">
        <f t="shared" si="48"/>
        <v>25.422111990842318</v>
      </c>
      <c r="BM39" s="40">
        <f t="shared" si="48"/>
        <v>24.673413063477462</v>
      </c>
      <c r="BN39" s="40">
        <f t="shared" si="48"/>
        <v>25.291689104290072</v>
      </c>
      <c r="BO39" s="40">
        <f t="shared" si="48"/>
        <v>25.789801548455994</v>
      </c>
      <c r="BP39" s="40">
        <f t="shared" si="48"/>
        <v>25.224006762468299</v>
      </c>
      <c r="BQ39" s="40">
        <f t="shared" si="48"/>
        <v>26.298647068648741</v>
      </c>
      <c r="BR39" s="40">
        <f t="shared" si="48"/>
        <v>24.948925390210018</v>
      </c>
      <c r="BS39" s="40">
        <f t="shared" si="48"/>
        <v>24.271919068056409</v>
      </c>
      <c r="BT39" s="40">
        <f t="shared" si="48"/>
        <v>24.763678029217989</v>
      </c>
      <c r="BU39" s="40">
        <f t="shared" si="48"/>
        <v>25.725684413261796</v>
      </c>
      <c r="BV39" s="40">
        <f t="shared" si="48"/>
        <v>25.731691166732883</v>
      </c>
      <c r="BW39" s="40">
        <f t="shared" ref="BW39:CM39" si="52">(BW38/BW4)*100</f>
        <v>24.70874088841817</v>
      </c>
      <c r="BX39" s="40">
        <f t="shared" si="52"/>
        <v>25.819647476388134</v>
      </c>
      <c r="BY39" s="40">
        <f t="shared" si="52"/>
        <v>26.157182809200386</v>
      </c>
      <c r="BZ39" s="40">
        <f t="shared" si="52"/>
        <v>26.575311692687858</v>
      </c>
      <c r="CA39" s="40">
        <f t="shared" si="52"/>
        <v>25.898435414107972</v>
      </c>
      <c r="CB39" s="40">
        <f t="shared" si="52"/>
        <v>25.979530652331228</v>
      </c>
      <c r="CC39" s="40">
        <f t="shared" si="52"/>
        <v>25.281284665363689</v>
      </c>
      <c r="CD39" s="40">
        <f t="shared" si="52"/>
        <v>24.555106167846311</v>
      </c>
      <c r="CE39" s="40">
        <f t="shared" si="52"/>
        <v>25.173473433782711</v>
      </c>
      <c r="CF39" s="40">
        <f t="shared" si="52"/>
        <v>24.4523762957168</v>
      </c>
      <c r="CG39" s="40">
        <f t="shared" si="52"/>
        <v>24.729150338850214</v>
      </c>
      <c r="CH39" s="40">
        <f t="shared" si="52"/>
        <v>23.494446372787227</v>
      </c>
      <c r="CI39" s="40">
        <f t="shared" si="52"/>
        <v>24.69015511731234</v>
      </c>
      <c r="CJ39" s="40">
        <f t="shared" si="52"/>
        <v>24.799531324374794</v>
      </c>
      <c r="CK39" s="40">
        <f t="shared" si="52"/>
        <v>25.723695043635765</v>
      </c>
      <c r="CL39" s="40">
        <f t="shared" si="52"/>
        <v>25.264113033897207</v>
      </c>
      <c r="CM39" s="40">
        <f t="shared" si="52"/>
        <v>24.538335105868704</v>
      </c>
      <c r="CN39" s="40">
        <f t="shared" ref="CN39:CO39" si="53">(CN38/CN4)*100</f>
        <v>24.59062876586092</v>
      </c>
      <c r="CO39" s="40">
        <f t="shared" si="53"/>
        <v>23.806345079576996</v>
      </c>
      <c r="CP39" s="40">
        <f t="shared" ref="CP39:CQ39" si="54">(CP38/CP4)*100</f>
        <v>22.005420054200542</v>
      </c>
      <c r="CQ39" s="40">
        <f t="shared" si="54"/>
        <v>22.017866526537048</v>
      </c>
      <c r="CR39" s="40">
        <f t="shared" ref="CR39:CW39" si="55">(CR38/CR4)*100</f>
        <v>21.801517067003793</v>
      </c>
      <c r="CS39" s="40">
        <f t="shared" si="55"/>
        <v>22.328809376927822</v>
      </c>
      <c r="CT39" s="40">
        <f t="shared" si="55"/>
        <v>22.330636694868154</v>
      </c>
      <c r="CU39" s="40">
        <f t="shared" si="55"/>
        <v>21.707691844174626</v>
      </c>
      <c r="CV39" s="40">
        <f t="shared" si="55"/>
        <v>21.76602262016965</v>
      </c>
      <c r="CW39" s="40">
        <f t="shared" si="55"/>
        <v>21.460554063032614</v>
      </c>
    </row>
    <row r="40" spans="1:101" s="5" customFormat="1" ht="13">
      <c r="A40" s="26" t="s">
        <v>134</v>
      </c>
      <c r="B40" s="5">
        <v>1637</v>
      </c>
      <c r="C40" s="5">
        <v>1798</v>
      </c>
      <c r="D40" s="5">
        <v>1812</v>
      </c>
      <c r="E40" s="5">
        <v>1835</v>
      </c>
      <c r="F40" s="5">
        <v>1772</v>
      </c>
      <c r="G40" s="5">
        <v>1710</v>
      </c>
      <c r="H40" s="50">
        <v>1555</v>
      </c>
      <c r="I40" s="5">
        <v>1608</v>
      </c>
      <c r="J40" s="5">
        <v>1441</v>
      </c>
      <c r="K40" s="5">
        <v>1475</v>
      </c>
      <c r="L40" s="5">
        <v>1339</v>
      </c>
      <c r="M40" s="5">
        <v>1472</v>
      </c>
      <c r="N40" s="5">
        <v>1430</v>
      </c>
      <c r="O40" s="5">
        <v>1358</v>
      </c>
      <c r="P40" s="47">
        <v>1338</v>
      </c>
      <c r="Q40" s="47">
        <v>1381</v>
      </c>
      <c r="R40" s="47">
        <v>1312</v>
      </c>
      <c r="S40" s="47">
        <v>1381</v>
      </c>
      <c r="T40" s="5">
        <v>1447</v>
      </c>
      <c r="U40" s="5">
        <v>1404</v>
      </c>
      <c r="V40" s="5">
        <v>1562</v>
      </c>
      <c r="W40" s="5">
        <v>1583</v>
      </c>
      <c r="X40" s="5">
        <v>1681</v>
      </c>
      <c r="Y40" s="5">
        <v>1662</v>
      </c>
      <c r="Z40" s="5">
        <v>1623</v>
      </c>
      <c r="AA40" s="5">
        <v>1700</v>
      </c>
      <c r="AB40" s="5">
        <v>1564</v>
      </c>
      <c r="AC40" s="5">
        <v>1578</v>
      </c>
      <c r="AD40" s="5">
        <v>1594</v>
      </c>
      <c r="AE40" s="5">
        <v>1513</v>
      </c>
      <c r="AF40" s="5">
        <v>1421</v>
      </c>
      <c r="AG40" s="5">
        <v>1495</v>
      </c>
      <c r="AH40" s="5">
        <v>1383</v>
      </c>
      <c r="AI40" s="5">
        <v>1392</v>
      </c>
      <c r="AJ40" s="5">
        <v>1342</v>
      </c>
      <c r="AK40" s="5">
        <v>1415</v>
      </c>
      <c r="AL40" s="5">
        <v>1502</v>
      </c>
      <c r="AM40" s="5">
        <v>1557</v>
      </c>
      <c r="AN40" s="5">
        <v>1559</v>
      </c>
      <c r="AO40" s="5">
        <v>1431</v>
      </c>
      <c r="AP40" s="5">
        <v>1392</v>
      </c>
      <c r="AQ40" s="5">
        <v>1465</v>
      </c>
      <c r="AR40" s="5">
        <v>1495</v>
      </c>
      <c r="AS40" s="5">
        <v>1610</v>
      </c>
      <c r="AT40" s="5">
        <v>1564</v>
      </c>
      <c r="AU40" s="5">
        <v>1649</v>
      </c>
      <c r="AV40" s="1">
        <v>1570</v>
      </c>
      <c r="AW40" s="1">
        <v>1617</v>
      </c>
      <c r="AX40" s="1">
        <v>1638</v>
      </c>
      <c r="AY40" s="1">
        <v>1698</v>
      </c>
      <c r="AZ40" s="88">
        <v>247</v>
      </c>
      <c r="BA40" s="5">
        <v>288</v>
      </c>
      <c r="BB40" s="5">
        <v>330</v>
      </c>
      <c r="BC40" s="5">
        <v>394</v>
      </c>
      <c r="BD40" s="5">
        <v>393</v>
      </c>
      <c r="BE40" s="5">
        <v>421</v>
      </c>
      <c r="BF40" s="5">
        <v>470</v>
      </c>
      <c r="BG40" s="5">
        <v>453</v>
      </c>
      <c r="BH40" s="5">
        <v>433</v>
      </c>
      <c r="BI40" s="5">
        <v>468</v>
      </c>
      <c r="BJ40" s="5">
        <v>533</v>
      </c>
      <c r="BK40" s="5">
        <v>571</v>
      </c>
      <c r="BL40" s="5">
        <v>502</v>
      </c>
      <c r="BM40" s="5">
        <v>538</v>
      </c>
      <c r="BN40" s="5">
        <v>572</v>
      </c>
      <c r="BO40" s="5">
        <v>646</v>
      </c>
      <c r="BP40" s="5">
        <v>695</v>
      </c>
      <c r="BQ40" s="5">
        <v>681</v>
      </c>
      <c r="BR40" s="5">
        <v>705</v>
      </c>
      <c r="BS40" s="5">
        <v>772</v>
      </c>
      <c r="BT40" s="5">
        <v>847</v>
      </c>
      <c r="BU40" s="5">
        <v>866</v>
      </c>
      <c r="BV40" s="5">
        <v>900</v>
      </c>
      <c r="BW40" s="5">
        <v>939</v>
      </c>
      <c r="BX40" s="5">
        <v>969</v>
      </c>
      <c r="BY40" s="5">
        <v>1150</v>
      </c>
      <c r="BZ40" s="5">
        <v>1009</v>
      </c>
      <c r="CA40" s="5">
        <v>1087</v>
      </c>
      <c r="CB40" s="5">
        <v>1096</v>
      </c>
      <c r="CC40" s="5">
        <v>1111</v>
      </c>
      <c r="CD40" s="5">
        <v>1077</v>
      </c>
      <c r="CE40" s="5">
        <v>1176</v>
      </c>
      <c r="CF40" s="5">
        <v>1152</v>
      </c>
      <c r="CG40" s="5">
        <v>1193</v>
      </c>
      <c r="CH40" s="5">
        <v>1156</v>
      </c>
      <c r="CI40" s="5">
        <v>1337</v>
      </c>
      <c r="CJ40" s="5">
        <v>1351</v>
      </c>
      <c r="CK40" s="5">
        <v>1471</v>
      </c>
      <c r="CL40" s="5">
        <v>1465</v>
      </c>
      <c r="CM40" s="5">
        <v>1355</v>
      </c>
      <c r="CN40" s="5">
        <v>1175</v>
      </c>
      <c r="CO40" s="5">
        <v>1269</v>
      </c>
      <c r="CP40" s="5">
        <v>1356</v>
      </c>
      <c r="CQ40" s="5">
        <v>1450</v>
      </c>
      <c r="CR40" s="5">
        <v>1377</v>
      </c>
      <c r="CS40" s="5">
        <v>1432</v>
      </c>
      <c r="CT40" s="1">
        <v>1484</v>
      </c>
      <c r="CU40" s="1">
        <v>1477</v>
      </c>
      <c r="CV40" s="1">
        <v>1424</v>
      </c>
      <c r="CW40" s="1">
        <v>1452</v>
      </c>
    </row>
    <row r="41" spans="1:101" s="5" customFormat="1" ht="12.75" customHeight="1">
      <c r="A41" s="26" t="s">
        <v>135</v>
      </c>
      <c r="B41" s="5">
        <v>1176</v>
      </c>
      <c r="C41" s="5">
        <v>1191</v>
      </c>
      <c r="D41" s="5">
        <v>1131</v>
      </c>
      <c r="E41" s="5">
        <v>1049</v>
      </c>
      <c r="F41" s="5">
        <v>1057</v>
      </c>
      <c r="G41" s="5">
        <v>1051</v>
      </c>
      <c r="H41" s="50">
        <v>974</v>
      </c>
      <c r="I41" s="5">
        <v>858</v>
      </c>
      <c r="J41" s="5">
        <v>791</v>
      </c>
      <c r="K41" s="5">
        <v>766</v>
      </c>
      <c r="L41" s="5">
        <v>776</v>
      </c>
      <c r="M41" s="5">
        <v>763</v>
      </c>
      <c r="N41" s="5">
        <v>692</v>
      </c>
      <c r="O41" s="5">
        <v>719</v>
      </c>
      <c r="P41" s="47">
        <v>705</v>
      </c>
      <c r="Q41" s="47">
        <v>699</v>
      </c>
      <c r="R41" s="47">
        <v>657</v>
      </c>
      <c r="S41" s="47">
        <v>617</v>
      </c>
      <c r="T41" s="5">
        <v>658</v>
      </c>
      <c r="U41" s="5">
        <v>655</v>
      </c>
      <c r="V41" s="5">
        <v>728</v>
      </c>
      <c r="W41" s="5">
        <v>678</v>
      </c>
      <c r="X41" s="5">
        <v>722</v>
      </c>
      <c r="Y41" s="5">
        <v>733</v>
      </c>
      <c r="Z41" s="5">
        <v>735</v>
      </c>
      <c r="AA41" s="5">
        <v>734</v>
      </c>
      <c r="AB41" s="5">
        <v>757</v>
      </c>
      <c r="AC41" s="5">
        <v>708</v>
      </c>
      <c r="AD41" s="5">
        <v>666</v>
      </c>
      <c r="AE41" s="5">
        <v>672</v>
      </c>
      <c r="AF41" s="5">
        <v>738</v>
      </c>
      <c r="AG41" s="5">
        <v>703</v>
      </c>
      <c r="AH41" s="5">
        <v>612</v>
      </c>
      <c r="AI41" s="5">
        <v>694</v>
      </c>
      <c r="AJ41" s="5">
        <v>678</v>
      </c>
      <c r="AK41" s="5">
        <v>729</v>
      </c>
      <c r="AL41" s="5">
        <v>810</v>
      </c>
      <c r="AM41" s="5">
        <v>831</v>
      </c>
      <c r="AN41" s="5">
        <v>827</v>
      </c>
      <c r="AO41" s="5">
        <v>860</v>
      </c>
      <c r="AP41" s="5">
        <v>820</v>
      </c>
      <c r="AQ41" s="5">
        <v>814</v>
      </c>
      <c r="AR41" s="5">
        <v>862</v>
      </c>
      <c r="AS41" s="5">
        <v>916</v>
      </c>
      <c r="AT41" s="5">
        <v>968</v>
      </c>
      <c r="AU41" s="5">
        <v>952</v>
      </c>
      <c r="AV41" s="1">
        <v>966</v>
      </c>
      <c r="AW41" s="1">
        <v>1035</v>
      </c>
      <c r="AX41" s="1">
        <v>1028</v>
      </c>
      <c r="AY41" s="1">
        <v>973</v>
      </c>
      <c r="AZ41" s="88">
        <v>137</v>
      </c>
      <c r="BA41" s="5">
        <v>164</v>
      </c>
      <c r="BB41" s="5">
        <v>185</v>
      </c>
      <c r="BC41" s="5">
        <v>211</v>
      </c>
      <c r="BD41" s="5">
        <v>241</v>
      </c>
      <c r="BE41" s="5">
        <v>249</v>
      </c>
      <c r="BF41" s="5">
        <v>234</v>
      </c>
      <c r="BG41" s="5">
        <v>231</v>
      </c>
      <c r="BH41" s="5">
        <v>224</v>
      </c>
      <c r="BI41" s="5">
        <v>264</v>
      </c>
      <c r="BJ41" s="5">
        <v>260</v>
      </c>
      <c r="BK41" s="5">
        <v>282</v>
      </c>
      <c r="BL41" s="5">
        <v>308</v>
      </c>
      <c r="BM41" s="5">
        <v>316</v>
      </c>
      <c r="BN41" s="5">
        <v>301</v>
      </c>
      <c r="BO41" s="5">
        <v>323</v>
      </c>
      <c r="BP41" s="5">
        <v>317</v>
      </c>
      <c r="BQ41" s="5">
        <v>350</v>
      </c>
      <c r="BR41" s="5">
        <v>283</v>
      </c>
      <c r="BS41" s="5">
        <v>307</v>
      </c>
      <c r="BT41" s="5">
        <v>312</v>
      </c>
      <c r="BU41" s="5">
        <v>350</v>
      </c>
      <c r="BV41" s="5">
        <v>392</v>
      </c>
      <c r="BW41" s="5">
        <v>374</v>
      </c>
      <c r="BX41" s="5">
        <v>368</v>
      </c>
      <c r="BY41" s="5">
        <v>418</v>
      </c>
      <c r="BZ41" s="5">
        <v>419</v>
      </c>
      <c r="CA41" s="5">
        <v>413</v>
      </c>
      <c r="CB41" s="5">
        <v>449</v>
      </c>
      <c r="CC41" s="5">
        <v>440</v>
      </c>
      <c r="CD41" s="5">
        <v>477</v>
      </c>
      <c r="CE41" s="5">
        <v>476</v>
      </c>
      <c r="CF41" s="5">
        <v>410</v>
      </c>
      <c r="CG41" s="5">
        <v>453</v>
      </c>
      <c r="CH41" s="5">
        <v>446</v>
      </c>
      <c r="CI41" s="5">
        <v>577</v>
      </c>
      <c r="CJ41" s="5">
        <v>611</v>
      </c>
      <c r="CK41" s="5">
        <v>641</v>
      </c>
      <c r="CL41" s="5">
        <v>612</v>
      </c>
      <c r="CM41" s="5">
        <v>665</v>
      </c>
      <c r="CN41" s="5">
        <v>594</v>
      </c>
      <c r="CO41" s="5">
        <v>624</v>
      </c>
      <c r="CP41" s="5">
        <v>655</v>
      </c>
      <c r="CQ41" s="5">
        <v>677</v>
      </c>
      <c r="CR41" s="5">
        <v>679</v>
      </c>
      <c r="CS41" s="5">
        <v>800</v>
      </c>
      <c r="CT41" s="1">
        <v>720</v>
      </c>
      <c r="CU41" s="1">
        <v>721</v>
      </c>
      <c r="CV41" s="1">
        <v>791</v>
      </c>
      <c r="CW41" s="1">
        <v>771</v>
      </c>
    </row>
    <row r="42" spans="1:101" s="5" customFormat="1" ht="12.75" customHeight="1">
      <c r="A42" s="26" t="s">
        <v>132</v>
      </c>
      <c r="B42" s="5">
        <v>567</v>
      </c>
      <c r="C42" s="5">
        <v>644</v>
      </c>
      <c r="D42" s="5">
        <v>555</v>
      </c>
      <c r="E42" s="5">
        <v>580</v>
      </c>
      <c r="F42" s="5">
        <v>494</v>
      </c>
      <c r="G42" s="5">
        <v>481</v>
      </c>
      <c r="H42" s="5">
        <v>485</v>
      </c>
      <c r="I42" s="5">
        <v>429</v>
      </c>
      <c r="J42" s="5">
        <v>418</v>
      </c>
      <c r="K42" s="5">
        <v>429</v>
      </c>
      <c r="L42" s="5">
        <v>393</v>
      </c>
      <c r="M42" s="5">
        <v>409</v>
      </c>
      <c r="N42" s="5">
        <v>433</v>
      </c>
      <c r="O42" s="5">
        <v>362</v>
      </c>
      <c r="P42" s="47">
        <v>391</v>
      </c>
      <c r="Q42" s="47">
        <v>418</v>
      </c>
      <c r="R42" s="47">
        <v>381</v>
      </c>
      <c r="S42" s="47">
        <v>446</v>
      </c>
      <c r="T42" s="5">
        <v>452</v>
      </c>
      <c r="U42" s="5">
        <v>390</v>
      </c>
      <c r="V42" s="5">
        <v>407</v>
      </c>
      <c r="W42" s="5">
        <v>477</v>
      </c>
      <c r="X42" s="5">
        <v>463</v>
      </c>
      <c r="Y42" s="5">
        <v>478</v>
      </c>
      <c r="Z42" s="5">
        <v>456</v>
      </c>
      <c r="AA42" s="5">
        <v>452</v>
      </c>
      <c r="AB42" s="5">
        <v>466</v>
      </c>
      <c r="AC42" s="5">
        <v>402</v>
      </c>
      <c r="AD42" s="5">
        <v>419</v>
      </c>
      <c r="AE42" s="5">
        <v>354</v>
      </c>
      <c r="AF42" s="5">
        <v>368</v>
      </c>
      <c r="AG42" s="5">
        <v>362</v>
      </c>
      <c r="AH42" s="5">
        <v>353</v>
      </c>
      <c r="AI42" s="5">
        <v>285</v>
      </c>
      <c r="AJ42" s="5">
        <v>350</v>
      </c>
      <c r="AK42" s="5">
        <v>369</v>
      </c>
      <c r="AL42" s="5">
        <v>411</v>
      </c>
      <c r="AM42" s="5">
        <v>455</v>
      </c>
      <c r="AN42" s="5">
        <v>441</v>
      </c>
      <c r="AO42" s="5">
        <v>445</v>
      </c>
      <c r="AP42" s="5">
        <v>376</v>
      </c>
      <c r="AQ42" s="5">
        <v>426</v>
      </c>
      <c r="AR42" s="5">
        <v>463</v>
      </c>
      <c r="AS42" s="5">
        <v>458</v>
      </c>
      <c r="AT42" s="5">
        <v>429</v>
      </c>
      <c r="AU42" s="5">
        <v>419</v>
      </c>
      <c r="AV42" s="1">
        <v>428</v>
      </c>
      <c r="AW42" s="1">
        <v>452</v>
      </c>
      <c r="AX42" s="1">
        <v>471</v>
      </c>
      <c r="AY42" s="1">
        <v>442</v>
      </c>
      <c r="AZ42" s="88">
        <v>53</v>
      </c>
      <c r="BA42" s="5">
        <v>58</v>
      </c>
      <c r="BB42" s="5">
        <v>70</v>
      </c>
      <c r="BC42" s="5">
        <v>63</v>
      </c>
      <c r="BD42" s="5">
        <v>71</v>
      </c>
      <c r="BE42" s="5">
        <v>70</v>
      </c>
      <c r="BF42" s="5">
        <v>83</v>
      </c>
      <c r="BG42" s="5">
        <v>91</v>
      </c>
      <c r="BH42" s="5">
        <v>97</v>
      </c>
      <c r="BI42" s="5">
        <v>123</v>
      </c>
      <c r="BJ42" s="5">
        <v>139</v>
      </c>
      <c r="BK42" s="5">
        <v>148</v>
      </c>
      <c r="BL42" s="5">
        <v>149</v>
      </c>
      <c r="BM42" s="5">
        <v>127</v>
      </c>
      <c r="BN42" s="5">
        <v>161</v>
      </c>
      <c r="BO42" s="5">
        <v>140</v>
      </c>
      <c r="BP42" s="5">
        <v>156</v>
      </c>
      <c r="BQ42" s="5">
        <v>162</v>
      </c>
      <c r="BR42" s="5">
        <v>206</v>
      </c>
      <c r="BS42" s="5">
        <v>184</v>
      </c>
      <c r="BT42" s="5">
        <v>197</v>
      </c>
      <c r="BU42" s="5">
        <v>217</v>
      </c>
      <c r="BV42" s="5">
        <v>235</v>
      </c>
      <c r="BW42" s="5">
        <v>205</v>
      </c>
      <c r="BX42" s="5">
        <v>233</v>
      </c>
      <c r="BY42" s="5">
        <v>234</v>
      </c>
      <c r="BZ42" s="5">
        <v>242</v>
      </c>
      <c r="CA42" s="5">
        <v>245</v>
      </c>
      <c r="CB42" s="5">
        <v>229</v>
      </c>
      <c r="CC42" s="5">
        <v>233</v>
      </c>
      <c r="CD42" s="5">
        <v>201</v>
      </c>
      <c r="CE42" s="5">
        <v>255</v>
      </c>
      <c r="CF42" s="5">
        <v>226</v>
      </c>
      <c r="CG42" s="5">
        <v>221</v>
      </c>
      <c r="CH42" s="5">
        <v>256</v>
      </c>
      <c r="CI42" s="5">
        <v>303</v>
      </c>
      <c r="CJ42" s="5">
        <v>393</v>
      </c>
      <c r="CK42" s="5">
        <v>423</v>
      </c>
      <c r="CL42" s="5">
        <v>448</v>
      </c>
      <c r="CM42" s="5">
        <v>467</v>
      </c>
      <c r="CN42" s="5">
        <v>335</v>
      </c>
      <c r="CO42" s="5">
        <v>380</v>
      </c>
      <c r="CP42" s="5">
        <v>374</v>
      </c>
      <c r="CQ42" s="5">
        <v>449</v>
      </c>
      <c r="CR42" s="5">
        <v>428</v>
      </c>
      <c r="CS42" s="5">
        <v>370</v>
      </c>
      <c r="CT42" s="1">
        <v>373</v>
      </c>
      <c r="CU42" s="1">
        <v>378</v>
      </c>
      <c r="CV42" s="1">
        <v>414</v>
      </c>
      <c r="CW42" s="1">
        <v>403</v>
      </c>
    </row>
    <row r="43" spans="1:101" s="5" customFormat="1" ht="12.75" customHeight="1">
      <c r="A43" s="26" t="s">
        <v>136</v>
      </c>
      <c r="B43" s="5">
        <v>344</v>
      </c>
      <c r="C43" s="5">
        <v>337</v>
      </c>
      <c r="D43" s="5">
        <v>334</v>
      </c>
      <c r="E43" s="5">
        <v>340</v>
      </c>
      <c r="F43" s="5">
        <v>369</v>
      </c>
      <c r="G43" s="5">
        <v>354</v>
      </c>
      <c r="H43" s="50">
        <v>287</v>
      </c>
      <c r="I43" s="5">
        <v>284</v>
      </c>
      <c r="J43" s="5">
        <v>356</v>
      </c>
      <c r="K43" s="5">
        <v>272</v>
      </c>
      <c r="L43" s="5">
        <v>274</v>
      </c>
      <c r="M43" s="5">
        <v>259</v>
      </c>
      <c r="N43" s="5">
        <v>246</v>
      </c>
      <c r="O43" s="5">
        <v>245</v>
      </c>
      <c r="P43" s="47">
        <v>254</v>
      </c>
      <c r="Q43" s="47">
        <v>296</v>
      </c>
      <c r="R43" s="47">
        <v>230</v>
      </c>
      <c r="S43" s="47">
        <v>246</v>
      </c>
      <c r="T43" s="5">
        <v>229</v>
      </c>
      <c r="U43" s="5">
        <v>252</v>
      </c>
      <c r="V43" s="5">
        <v>236</v>
      </c>
      <c r="W43" s="5">
        <v>230</v>
      </c>
      <c r="X43" s="5">
        <v>279</v>
      </c>
      <c r="Y43" s="5">
        <v>213</v>
      </c>
      <c r="Z43" s="5">
        <v>243</v>
      </c>
      <c r="AA43" s="5">
        <v>276</v>
      </c>
      <c r="AB43" s="5">
        <v>274</v>
      </c>
      <c r="AC43" s="5">
        <v>284</v>
      </c>
      <c r="AD43" s="5">
        <v>284</v>
      </c>
      <c r="AE43" s="5">
        <v>245</v>
      </c>
      <c r="AF43" s="5">
        <v>220</v>
      </c>
      <c r="AG43" s="5">
        <v>236</v>
      </c>
      <c r="AH43" s="5">
        <v>227</v>
      </c>
      <c r="AI43" s="5">
        <v>208</v>
      </c>
      <c r="AJ43" s="5">
        <v>225</v>
      </c>
      <c r="AK43" s="5">
        <v>230</v>
      </c>
      <c r="AL43" s="5">
        <v>257</v>
      </c>
      <c r="AM43" s="5">
        <v>231</v>
      </c>
      <c r="AN43" s="5">
        <v>239</v>
      </c>
      <c r="AO43" s="5">
        <v>235</v>
      </c>
      <c r="AP43" s="5">
        <v>246</v>
      </c>
      <c r="AQ43" s="5">
        <v>277</v>
      </c>
      <c r="AR43" s="5">
        <v>250</v>
      </c>
      <c r="AS43" s="5">
        <v>323</v>
      </c>
      <c r="AT43" s="5">
        <v>281</v>
      </c>
      <c r="AU43" s="5">
        <v>325</v>
      </c>
      <c r="AV43" s="1">
        <v>303</v>
      </c>
      <c r="AW43" s="1">
        <v>323</v>
      </c>
      <c r="AX43" s="1">
        <v>326</v>
      </c>
      <c r="AY43" s="1">
        <v>349</v>
      </c>
      <c r="AZ43" s="88">
        <v>45</v>
      </c>
      <c r="BA43" s="5">
        <v>50</v>
      </c>
      <c r="BB43" s="5">
        <v>48</v>
      </c>
      <c r="BC43" s="5">
        <v>72</v>
      </c>
      <c r="BD43" s="5">
        <v>78</v>
      </c>
      <c r="BE43" s="5">
        <v>94</v>
      </c>
      <c r="BF43" s="5">
        <v>98</v>
      </c>
      <c r="BG43" s="5">
        <v>86</v>
      </c>
      <c r="BH43" s="5">
        <v>124</v>
      </c>
      <c r="BI43" s="5">
        <v>112</v>
      </c>
      <c r="BJ43" s="5">
        <v>114</v>
      </c>
      <c r="BK43" s="5">
        <v>110</v>
      </c>
      <c r="BL43" s="5">
        <v>143</v>
      </c>
      <c r="BM43" s="5">
        <v>115</v>
      </c>
      <c r="BN43" s="5">
        <v>126</v>
      </c>
      <c r="BO43" s="5">
        <v>160</v>
      </c>
      <c r="BP43" s="5">
        <v>121</v>
      </c>
      <c r="BQ43" s="5">
        <v>143</v>
      </c>
      <c r="BR43" s="5">
        <v>147</v>
      </c>
      <c r="BS43" s="5">
        <v>127</v>
      </c>
      <c r="BT43" s="5">
        <v>110</v>
      </c>
      <c r="BU43" s="5">
        <v>139</v>
      </c>
      <c r="BV43" s="5">
        <v>168</v>
      </c>
      <c r="BW43" s="5">
        <v>174</v>
      </c>
      <c r="BX43" s="5">
        <v>172</v>
      </c>
      <c r="BY43" s="5">
        <v>174</v>
      </c>
      <c r="BZ43" s="5">
        <v>196</v>
      </c>
      <c r="CA43" s="5">
        <v>187</v>
      </c>
      <c r="CB43" s="5">
        <v>203</v>
      </c>
      <c r="CC43" s="5">
        <v>191</v>
      </c>
      <c r="CD43" s="5">
        <v>198</v>
      </c>
      <c r="CE43" s="5">
        <v>190</v>
      </c>
      <c r="CF43" s="5">
        <v>189</v>
      </c>
      <c r="CG43" s="5">
        <v>206</v>
      </c>
      <c r="CH43" s="5">
        <v>208</v>
      </c>
      <c r="CI43" s="5">
        <v>183</v>
      </c>
      <c r="CJ43" s="5">
        <v>229</v>
      </c>
      <c r="CK43" s="5">
        <v>272</v>
      </c>
      <c r="CL43" s="5">
        <v>301</v>
      </c>
      <c r="CM43" s="5">
        <v>219</v>
      </c>
      <c r="CN43" s="5">
        <v>239</v>
      </c>
      <c r="CO43" s="5">
        <v>267</v>
      </c>
      <c r="CP43" s="5">
        <v>264</v>
      </c>
      <c r="CQ43" s="5">
        <v>263</v>
      </c>
      <c r="CR43" s="5">
        <v>269</v>
      </c>
      <c r="CS43" s="5">
        <v>329</v>
      </c>
      <c r="CT43" s="1">
        <v>296</v>
      </c>
      <c r="CU43" s="1">
        <v>314</v>
      </c>
      <c r="CV43" s="1">
        <v>313</v>
      </c>
      <c r="CW43" s="1">
        <v>309</v>
      </c>
    </row>
    <row r="44" spans="1:101" s="5" customFormat="1" ht="12.75" customHeight="1">
      <c r="A44" s="26" t="s">
        <v>139</v>
      </c>
      <c r="B44" s="5">
        <v>1394</v>
      </c>
      <c r="C44" s="5">
        <v>1553</v>
      </c>
      <c r="D44" s="5">
        <v>1449</v>
      </c>
      <c r="E44" s="5">
        <v>1450</v>
      </c>
      <c r="F44" s="5">
        <v>1253</v>
      </c>
      <c r="G44" s="5">
        <v>1321</v>
      </c>
      <c r="H44" s="50">
        <v>1120</v>
      </c>
      <c r="I44" s="5">
        <v>1131</v>
      </c>
      <c r="J44" s="5">
        <v>978</v>
      </c>
      <c r="K44" s="5">
        <v>997</v>
      </c>
      <c r="L44" s="5">
        <v>955</v>
      </c>
      <c r="M44" s="5">
        <v>909</v>
      </c>
      <c r="N44" s="5">
        <v>1004</v>
      </c>
      <c r="O44" s="5">
        <v>943</v>
      </c>
      <c r="P44" s="47">
        <v>910</v>
      </c>
      <c r="Q44" s="47">
        <v>864</v>
      </c>
      <c r="R44" s="47">
        <v>833</v>
      </c>
      <c r="S44" s="47">
        <v>861</v>
      </c>
      <c r="T44" s="5">
        <v>822</v>
      </c>
      <c r="U44" s="5">
        <v>907</v>
      </c>
      <c r="V44" s="5">
        <v>859</v>
      </c>
      <c r="W44" s="5">
        <v>951</v>
      </c>
      <c r="X44" s="5">
        <v>1029</v>
      </c>
      <c r="Y44" s="5">
        <v>965</v>
      </c>
      <c r="Z44" s="5">
        <v>931</v>
      </c>
      <c r="AA44" s="5">
        <v>967</v>
      </c>
      <c r="AB44" s="5">
        <v>975</v>
      </c>
      <c r="AC44" s="5">
        <v>920</v>
      </c>
      <c r="AD44" s="5">
        <v>908</v>
      </c>
      <c r="AE44" s="5">
        <v>864</v>
      </c>
      <c r="AF44" s="5">
        <v>879</v>
      </c>
      <c r="AG44" s="5">
        <v>782</v>
      </c>
      <c r="AH44" s="5">
        <v>828</v>
      </c>
      <c r="AI44" s="5">
        <v>868</v>
      </c>
      <c r="AJ44" s="5">
        <v>868</v>
      </c>
      <c r="AK44" s="5">
        <v>894</v>
      </c>
      <c r="AL44" s="5">
        <v>957</v>
      </c>
      <c r="AM44" s="5">
        <v>1014</v>
      </c>
      <c r="AN44" s="5">
        <v>960</v>
      </c>
      <c r="AO44" s="5">
        <v>1085</v>
      </c>
      <c r="AP44" s="5">
        <v>1033</v>
      </c>
      <c r="AQ44" s="5">
        <v>977</v>
      </c>
      <c r="AR44" s="5">
        <v>1089</v>
      </c>
      <c r="AS44" s="5">
        <v>1097</v>
      </c>
      <c r="AT44" s="5">
        <v>1208</v>
      </c>
      <c r="AU44" s="5">
        <v>1170</v>
      </c>
      <c r="AV44" s="1">
        <v>1135</v>
      </c>
      <c r="AW44" s="1">
        <v>1196</v>
      </c>
      <c r="AX44" s="1">
        <v>1203</v>
      </c>
      <c r="AY44" s="1">
        <v>1160</v>
      </c>
      <c r="AZ44" s="88">
        <v>183</v>
      </c>
      <c r="BA44" s="5">
        <v>240</v>
      </c>
      <c r="BB44" s="5">
        <v>261</v>
      </c>
      <c r="BC44" s="5">
        <v>308</v>
      </c>
      <c r="BD44" s="5">
        <v>329</v>
      </c>
      <c r="BE44" s="5">
        <v>314</v>
      </c>
      <c r="BF44" s="5">
        <v>378</v>
      </c>
      <c r="BG44" s="5">
        <v>373</v>
      </c>
      <c r="BH44" s="5">
        <v>360</v>
      </c>
      <c r="BI44" s="5">
        <v>420</v>
      </c>
      <c r="BJ44" s="5">
        <v>379</v>
      </c>
      <c r="BK44" s="5">
        <v>401</v>
      </c>
      <c r="BL44" s="5">
        <v>434</v>
      </c>
      <c r="BM44" s="5">
        <v>440</v>
      </c>
      <c r="BN44" s="5">
        <v>477</v>
      </c>
      <c r="BO44" s="5">
        <v>395</v>
      </c>
      <c r="BP44" s="5">
        <v>456</v>
      </c>
      <c r="BQ44" s="5">
        <v>460</v>
      </c>
      <c r="BR44" s="5">
        <v>416</v>
      </c>
      <c r="BS44" s="5">
        <v>426</v>
      </c>
      <c r="BT44" s="5">
        <v>454</v>
      </c>
      <c r="BU44" s="5">
        <v>536</v>
      </c>
      <c r="BV44" s="5">
        <v>520</v>
      </c>
      <c r="BW44" s="5">
        <v>548</v>
      </c>
      <c r="BX44" s="5">
        <v>552</v>
      </c>
      <c r="BY44" s="5">
        <v>581</v>
      </c>
      <c r="BZ44" s="5">
        <v>623</v>
      </c>
      <c r="CA44" s="5">
        <v>572</v>
      </c>
      <c r="CB44" s="5">
        <v>657</v>
      </c>
      <c r="CC44" s="5">
        <v>567</v>
      </c>
      <c r="CD44" s="5">
        <v>617</v>
      </c>
      <c r="CE44" s="5">
        <v>621</v>
      </c>
      <c r="CF44" s="5">
        <v>669</v>
      </c>
      <c r="CG44" s="5">
        <v>657</v>
      </c>
      <c r="CH44" s="5">
        <v>691</v>
      </c>
      <c r="CI44" s="5">
        <v>740</v>
      </c>
      <c r="CJ44" s="5">
        <v>854</v>
      </c>
      <c r="CK44" s="5">
        <v>946</v>
      </c>
      <c r="CL44" s="5">
        <v>838</v>
      </c>
      <c r="CM44" s="5">
        <v>886</v>
      </c>
      <c r="CN44" s="5">
        <v>807</v>
      </c>
      <c r="CO44" s="5">
        <v>894</v>
      </c>
      <c r="CP44" s="5">
        <v>890</v>
      </c>
      <c r="CQ44" s="5">
        <v>903</v>
      </c>
      <c r="CR44" s="5">
        <v>980</v>
      </c>
      <c r="CS44" s="5">
        <v>984</v>
      </c>
      <c r="CT44" s="1">
        <v>956</v>
      </c>
      <c r="CU44" s="1">
        <v>933</v>
      </c>
      <c r="CV44" s="1">
        <v>958</v>
      </c>
      <c r="CW44" s="1">
        <v>980</v>
      </c>
    </row>
    <row r="45" spans="1:101" s="5" customFormat="1" ht="13">
      <c r="A45" s="26" t="s">
        <v>140</v>
      </c>
      <c r="B45" s="5">
        <v>485</v>
      </c>
      <c r="C45" s="5">
        <v>527</v>
      </c>
      <c r="D45" s="5">
        <v>513</v>
      </c>
      <c r="E45" s="5">
        <v>469</v>
      </c>
      <c r="F45" s="5">
        <v>455</v>
      </c>
      <c r="G45" s="5">
        <v>429</v>
      </c>
      <c r="H45" s="5">
        <v>404</v>
      </c>
      <c r="I45" s="5">
        <v>388</v>
      </c>
      <c r="J45" s="5">
        <v>385</v>
      </c>
      <c r="K45" s="5">
        <v>330</v>
      </c>
      <c r="L45" s="5">
        <v>349</v>
      </c>
      <c r="M45" s="5">
        <v>366</v>
      </c>
      <c r="N45" s="5">
        <v>340</v>
      </c>
      <c r="O45" s="5">
        <v>329</v>
      </c>
      <c r="P45" s="47">
        <v>421</v>
      </c>
      <c r="Q45" s="47">
        <v>379</v>
      </c>
      <c r="R45" s="47">
        <v>404</v>
      </c>
      <c r="S45" s="47">
        <v>316</v>
      </c>
      <c r="T45" s="5">
        <v>373</v>
      </c>
      <c r="U45" s="5">
        <v>386</v>
      </c>
      <c r="V45" s="5">
        <v>487</v>
      </c>
      <c r="W45" s="5">
        <v>520</v>
      </c>
      <c r="X45" s="5">
        <v>447</v>
      </c>
      <c r="Y45" s="5">
        <v>437</v>
      </c>
      <c r="Z45" s="5">
        <v>533</v>
      </c>
      <c r="AA45" s="5">
        <v>548</v>
      </c>
      <c r="AB45" s="5">
        <v>580</v>
      </c>
      <c r="AC45" s="5">
        <v>520</v>
      </c>
      <c r="AD45" s="5">
        <v>527</v>
      </c>
      <c r="AE45" s="5">
        <v>483</v>
      </c>
      <c r="AF45" s="5">
        <v>467</v>
      </c>
      <c r="AG45" s="5">
        <v>497</v>
      </c>
      <c r="AH45" s="5">
        <v>444</v>
      </c>
      <c r="AI45" s="5">
        <v>463</v>
      </c>
      <c r="AJ45" s="5">
        <v>482</v>
      </c>
      <c r="AK45" s="5">
        <v>610</v>
      </c>
      <c r="AL45" s="5">
        <v>676</v>
      </c>
      <c r="AM45" s="5">
        <v>844</v>
      </c>
      <c r="AN45" s="5">
        <v>824</v>
      </c>
      <c r="AO45" s="5">
        <v>760</v>
      </c>
      <c r="AP45" s="5">
        <v>888</v>
      </c>
      <c r="AQ45" s="5">
        <v>745</v>
      </c>
      <c r="AR45" s="5">
        <v>430</v>
      </c>
      <c r="AS45" s="5">
        <v>508</v>
      </c>
      <c r="AT45" s="5">
        <v>499</v>
      </c>
      <c r="AU45" s="5">
        <v>477</v>
      </c>
      <c r="AV45" s="1">
        <v>466</v>
      </c>
      <c r="AW45" s="1">
        <v>455</v>
      </c>
      <c r="AX45" s="1">
        <v>448</v>
      </c>
      <c r="AY45" s="1">
        <v>485</v>
      </c>
      <c r="AZ45" s="88">
        <v>61</v>
      </c>
      <c r="BA45" s="5">
        <v>86</v>
      </c>
      <c r="BB45" s="5">
        <v>86</v>
      </c>
      <c r="BC45" s="5">
        <v>88</v>
      </c>
      <c r="BD45" s="5">
        <v>120</v>
      </c>
      <c r="BE45" s="5">
        <v>111</v>
      </c>
      <c r="BF45" s="5">
        <v>93</v>
      </c>
      <c r="BG45" s="5">
        <v>131</v>
      </c>
      <c r="BH45" s="5">
        <v>116</v>
      </c>
      <c r="BI45" s="5">
        <v>144</v>
      </c>
      <c r="BJ45" s="5">
        <v>154</v>
      </c>
      <c r="BK45" s="5">
        <v>169</v>
      </c>
      <c r="BL45" s="5">
        <v>139</v>
      </c>
      <c r="BM45" s="5">
        <v>158</v>
      </c>
      <c r="BN45" s="5">
        <v>172</v>
      </c>
      <c r="BO45" s="5">
        <v>150</v>
      </c>
      <c r="BP45" s="5">
        <v>173</v>
      </c>
      <c r="BQ45" s="5">
        <v>213</v>
      </c>
      <c r="BR45" s="5">
        <v>176</v>
      </c>
      <c r="BS45" s="5">
        <v>182</v>
      </c>
      <c r="BT45" s="5">
        <v>263</v>
      </c>
      <c r="BU45" s="5">
        <v>303</v>
      </c>
      <c r="BV45" s="5">
        <v>237</v>
      </c>
      <c r="BW45" s="5">
        <v>237</v>
      </c>
      <c r="BX45" s="5">
        <v>384</v>
      </c>
      <c r="BY45" s="5">
        <v>341</v>
      </c>
      <c r="BZ45" s="5">
        <v>457</v>
      </c>
      <c r="CA45" s="5">
        <v>412</v>
      </c>
      <c r="CB45" s="5">
        <v>416</v>
      </c>
      <c r="CC45" s="5">
        <v>408</v>
      </c>
      <c r="CD45" s="5">
        <v>400</v>
      </c>
      <c r="CE45" s="5">
        <v>478</v>
      </c>
      <c r="CF45" s="5">
        <v>429</v>
      </c>
      <c r="CG45" s="5">
        <v>478</v>
      </c>
      <c r="CH45" s="5">
        <v>550</v>
      </c>
      <c r="CI45" s="5">
        <v>629</v>
      </c>
      <c r="CJ45" s="5">
        <v>758</v>
      </c>
      <c r="CK45" s="5">
        <v>1124</v>
      </c>
      <c r="CL45" s="5">
        <v>1179</v>
      </c>
      <c r="CM45" s="5">
        <v>1102</v>
      </c>
      <c r="CN45" s="5">
        <v>1274</v>
      </c>
      <c r="CO45" s="5">
        <v>945</v>
      </c>
      <c r="CP45" s="5">
        <v>435</v>
      </c>
      <c r="CQ45" s="5">
        <v>436</v>
      </c>
      <c r="CR45" s="5">
        <v>433</v>
      </c>
      <c r="CS45" s="5">
        <v>471</v>
      </c>
      <c r="CT45" s="1">
        <v>537</v>
      </c>
      <c r="CU45" s="1">
        <v>480</v>
      </c>
      <c r="CV45" s="1">
        <v>480</v>
      </c>
      <c r="CW45" s="1">
        <v>507</v>
      </c>
    </row>
    <row r="46" spans="1:101" s="5" customFormat="1" ht="13">
      <c r="A46" s="26" t="s">
        <v>141</v>
      </c>
      <c r="B46" s="5">
        <v>544</v>
      </c>
      <c r="C46" s="5">
        <v>548</v>
      </c>
      <c r="D46" s="5">
        <v>633</v>
      </c>
      <c r="E46" s="5">
        <v>644</v>
      </c>
      <c r="F46" s="5">
        <v>595</v>
      </c>
      <c r="G46" s="5">
        <v>592</v>
      </c>
      <c r="H46" s="5">
        <v>551</v>
      </c>
      <c r="I46" s="5">
        <v>546</v>
      </c>
      <c r="J46" s="5">
        <v>464</v>
      </c>
      <c r="K46" s="5">
        <v>501</v>
      </c>
      <c r="L46" s="5">
        <v>453</v>
      </c>
      <c r="M46" s="5">
        <v>415</v>
      </c>
      <c r="N46" s="5">
        <v>419</v>
      </c>
      <c r="O46" s="5">
        <v>385</v>
      </c>
      <c r="P46" s="47">
        <v>448</v>
      </c>
      <c r="Q46" s="47">
        <v>391</v>
      </c>
      <c r="R46" s="47">
        <v>396</v>
      </c>
      <c r="S46" s="47">
        <v>358</v>
      </c>
      <c r="T46" s="5">
        <v>353</v>
      </c>
      <c r="U46" s="5">
        <v>415</v>
      </c>
      <c r="V46" s="5">
        <v>409</v>
      </c>
      <c r="W46" s="5">
        <v>405</v>
      </c>
      <c r="X46" s="5">
        <v>465</v>
      </c>
      <c r="Y46" s="5">
        <v>458</v>
      </c>
      <c r="Z46" s="5">
        <v>507</v>
      </c>
      <c r="AA46" s="5">
        <v>444</v>
      </c>
      <c r="AB46" s="5">
        <v>505</v>
      </c>
      <c r="AC46" s="5">
        <v>465</v>
      </c>
      <c r="AD46" s="5">
        <v>520</v>
      </c>
      <c r="AE46" s="5">
        <v>407</v>
      </c>
      <c r="AF46" s="5">
        <v>480</v>
      </c>
      <c r="AG46" s="5">
        <v>510</v>
      </c>
      <c r="AH46" s="5">
        <v>518</v>
      </c>
      <c r="AI46" s="5">
        <v>583</v>
      </c>
      <c r="AJ46" s="5">
        <v>594</v>
      </c>
      <c r="AK46" s="5">
        <v>681</v>
      </c>
      <c r="AL46" s="5">
        <v>671</v>
      </c>
      <c r="AM46" s="5">
        <v>668</v>
      </c>
      <c r="AN46" s="5">
        <v>690</v>
      </c>
      <c r="AO46" s="5">
        <v>648</v>
      </c>
      <c r="AP46" s="5">
        <v>523</v>
      </c>
      <c r="AQ46" s="5">
        <v>565</v>
      </c>
      <c r="AR46" s="5">
        <v>610</v>
      </c>
      <c r="AS46" s="5">
        <v>627</v>
      </c>
      <c r="AT46" s="5">
        <v>672</v>
      </c>
      <c r="AU46" s="5">
        <v>738</v>
      </c>
      <c r="AV46" s="1">
        <v>709</v>
      </c>
      <c r="AW46" s="1">
        <v>795</v>
      </c>
      <c r="AX46" s="1">
        <v>814</v>
      </c>
      <c r="AY46" s="1">
        <v>749</v>
      </c>
      <c r="AZ46" s="88">
        <v>86</v>
      </c>
      <c r="BA46" s="5">
        <v>97</v>
      </c>
      <c r="BB46" s="5">
        <v>118</v>
      </c>
      <c r="BC46" s="5">
        <v>118</v>
      </c>
      <c r="BD46" s="5">
        <v>111</v>
      </c>
      <c r="BE46" s="5">
        <v>112</v>
      </c>
      <c r="BF46" s="5">
        <v>135</v>
      </c>
      <c r="BG46" s="5">
        <v>143</v>
      </c>
      <c r="BH46" s="5">
        <v>129</v>
      </c>
      <c r="BI46" s="5">
        <v>187</v>
      </c>
      <c r="BJ46" s="5">
        <v>184</v>
      </c>
      <c r="BK46" s="5">
        <v>163</v>
      </c>
      <c r="BL46" s="5">
        <v>166</v>
      </c>
      <c r="BM46" s="5">
        <v>182</v>
      </c>
      <c r="BN46" s="5">
        <v>184</v>
      </c>
      <c r="BO46" s="5">
        <v>175</v>
      </c>
      <c r="BP46" s="5">
        <v>183</v>
      </c>
      <c r="BQ46" s="5">
        <v>187</v>
      </c>
      <c r="BR46" s="5">
        <v>184</v>
      </c>
      <c r="BS46" s="5">
        <v>206</v>
      </c>
      <c r="BT46" s="5">
        <v>210</v>
      </c>
      <c r="BU46" s="5">
        <v>238</v>
      </c>
      <c r="BV46" s="5">
        <v>299</v>
      </c>
      <c r="BW46" s="5">
        <v>253</v>
      </c>
      <c r="BX46" s="5">
        <v>271</v>
      </c>
      <c r="BY46" s="5">
        <v>275</v>
      </c>
      <c r="BZ46" s="5">
        <v>280</v>
      </c>
      <c r="CA46" s="5">
        <v>312</v>
      </c>
      <c r="CB46" s="5">
        <v>340</v>
      </c>
      <c r="CC46" s="5">
        <v>323</v>
      </c>
      <c r="CD46" s="5">
        <v>311</v>
      </c>
      <c r="CE46" s="5">
        <v>398</v>
      </c>
      <c r="CF46" s="5">
        <v>435</v>
      </c>
      <c r="CG46" s="5">
        <v>599</v>
      </c>
      <c r="CH46" s="5">
        <v>639</v>
      </c>
      <c r="CI46" s="5">
        <v>682</v>
      </c>
      <c r="CJ46" s="5">
        <v>791</v>
      </c>
      <c r="CK46" s="5">
        <v>905</v>
      </c>
      <c r="CL46" s="5">
        <v>919</v>
      </c>
      <c r="CM46" s="5">
        <v>936</v>
      </c>
      <c r="CN46" s="5">
        <v>648</v>
      </c>
      <c r="CO46" s="5">
        <v>615</v>
      </c>
      <c r="CP46" s="5">
        <v>713</v>
      </c>
      <c r="CQ46" s="5">
        <v>668</v>
      </c>
      <c r="CR46" s="5">
        <v>808</v>
      </c>
      <c r="CS46" s="5">
        <v>853</v>
      </c>
      <c r="CT46" s="1">
        <v>874</v>
      </c>
      <c r="CU46" s="1">
        <v>989</v>
      </c>
      <c r="CV46" s="1">
        <v>991</v>
      </c>
      <c r="CW46" s="1">
        <v>1001</v>
      </c>
    </row>
    <row r="47" spans="1:101" s="5" customFormat="1" ht="13">
      <c r="A47" s="26" t="s">
        <v>144</v>
      </c>
      <c r="B47" s="5">
        <v>205</v>
      </c>
      <c r="C47" s="5">
        <v>196</v>
      </c>
      <c r="D47" s="5">
        <v>185</v>
      </c>
      <c r="E47" s="5">
        <v>195</v>
      </c>
      <c r="F47" s="5">
        <v>204</v>
      </c>
      <c r="G47" s="5">
        <v>197</v>
      </c>
      <c r="H47" s="5">
        <v>151</v>
      </c>
      <c r="I47" s="5">
        <v>169</v>
      </c>
      <c r="J47" s="5">
        <v>164</v>
      </c>
      <c r="K47" s="5">
        <v>147</v>
      </c>
      <c r="L47" s="5">
        <v>169</v>
      </c>
      <c r="M47" s="5">
        <v>180</v>
      </c>
      <c r="N47" s="5">
        <v>149</v>
      </c>
      <c r="O47" s="5">
        <v>164</v>
      </c>
      <c r="P47" s="47">
        <v>174</v>
      </c>
      <c r="Q47" s="47">
        <v>120</v>
      </c>
      <c r="R47" s="47">
        <v>133</v>
      </c>
      <c r="S47" s="47">
        <v>135</v>
      </c>
      <c r="T47" s="5">
        <v>159</v>
      </c>
      <c r="U47" s="5">
        <v>161</v>
      </c>
      <c r="V47" s="5">
        <v>155</v>
      </c>
      <c r="W47" s="5">
        <v>121</v>
      </c>
      <c r="X47" s="5">
        <v>150</v>
      </c>
      <c r="Y47" s="5">
        <v>142</v>
      </c>
      <c r="Z47" s="5">
        <v>152</v>
      </c>
      <c r="AA47" s="5">
        <v>154</v>
      </c>
      <c r="AB47" s="5">
        <v>173</v>
      </c>
      <c r="AC47" s="5">
        <v>199</v>
      </c>
      <c r="AD47" s="5">
        <v>211</v>
      </c>
      <c r="AE47" s="5">
        <v>196</v>
      </c>
      <c r="AF47" s="5">
        <v>175</v>
      </c>
      <c r="AG47" s="5">
        <v>183</v>
      </c>
      <c r="AH47" s="5">
        <v>170</v>
      </c>
      <c r="AI47" s="5">
        <v>189</v>
      </c>
      <c r="AJ47" s="5">
        <v>191</v>
      </c>
      <c r="AK47" s="5">
        <v>213</v>
      </c>
      <c r="AL47" s="5">
        <v>182</v>
      </c>
      <c r="AM47" s="5">
        <v>202</v>
      </c>
      <c r="AN47" s="5">
        <v>172</v>
      </c>
      <c r="AO47" s="5">
        <v>180</v>
      </c>
      <c r="AP47" s="5">
        <v>177</v>
      </c>
      <c r="AQ47" s="5">
        <v>182</v>
      </c>
      <c r="AR47" s="5">
        <v>170</v>
      </c>
      <c r="AS47" s="5">
        <v>202</v>
      </c>
      <c r="AT47" s="5">
        <v>186</v>
      </c>
      <c r="AU47" s="5">
        <v>239</v>
      </c>
      <c r="AV47" s="1">
        <v>215</v>
      </c>
      <c r="AW47" s="1">
        <v>220</v>
      </c>
      <c r="AX47" s="1">
        <v>205</v>
      </c>
      <c r="AY47" s="1">
        <v>247</v>
      </c>
      <c r="AZ47" s="88">
        <v>8</v>
      </c>
      <c r="BA47" s="5">
        <v>27</v>
      </c>
      <c r="BB47" s="5">
        <v>25</v>
      </c>
      <c r="BC47" s="5">
        <v>35</v>
      </c>
      <c r="BD47" s="5">
        <v>33</v>
      </c>
      <c r="BE47" s="5">
        <v>32</v>
      </c>
      <c r="BF47" s="5">
        <v>27</v>
      </c>
      <c r="BG47" s="5">
        <v>49</v>
      </c>
      <c r="BH47" s="5">
        <v>42</v>
      </c>
      <c r="BI47" s="5">
        <v>53</v>
      </c>
      <c r="BJ47" s="5">
        <v>52</v>
      </c>
      <c r="BK47" s="5">
        <v>58</v>
      </c>
      <c r="BL47" s="5">
        <v>65</v>
      </c>
      <c r="BM47" s="5">
        <v>56</v>
      </c>
      <c r="BN47" s="5">
        <v>52</v>
      </c>
      <c r="BO47" s="5">
        <v>76</v>
      </c>
      <c r="BP47" s="5">
        <v>77</v>
      </c>
      <c r="BQ47" s="5">
        <v>80</v>
      </c>
      <c r="BR47" s="5">
        <v>89</v>
      </c>
      <c r="BS47" s="5">
        <v>87</v>
      </c>
      <c r="BT47" s="5">
        <v>75</v>
      </c>
      <c r="BU47" s="5">
        <v>98</v>
      </c>
      <c r="BV47" s="5">
        <v>86</v>
      </c>
      <c r="BW47" s="5">
        <v>96</v>
      </c>
      <c r="BX47" s="5">
        <v>92</v>
      </c>
      <c r="BY47" s="5">
        <v>101</v>
      </c>
      <c r="BZ47" s="5">
        <v>112</v>
      </c>
      <c r="CA47" s="5">
        <v>170</v>
      </c>
      <c r="CB47" s="5">
        <v>218</v>
      </c>
      <c r="CC47" s="5">
        <v>158</v>
      </c>
      <c r="CD47" s="5">
        <v>188</v>
      </c>
      <c r="CE47" s="5">
        <v>157</v>
      </c>
      <c r="CF47" s="5">
        <v>163</v>
      </c>
      <c r="CG47" s="5">
        <v>245</v>
      </c>
      <c r="CH47" s="5">
        <v>191</v>
      </c>
      <c r="CI47" s="5">
        <v>279</v>
      </c>
      <c r="CJ47" s="5">
        <v>232</v>
      </c>
      <c r="CK47" s="5">
        <v>248</v>
      </c>
      <c r="CL47" s="5">
        <v>183</v>
      </c>
      <c r="CM47" s="5">
        <v>196</v>
      </c>
      <c r="CN47" s="5">
        <v>190</v>
      </c>
      <c r="CO47" s="5">
        <v>188</v>
      </c>
      <c r="CP47" s="5">
        <v>168</v>
      </c>
      <c r="CQ47" s="5">
        <v>193</v>
      </c>
      <c r="CR47" s="5">
        <v>221</v>
      </c>
      <c r="CS47" s="5">
        <v>217</v>
      </c>
      <c r="CT47" s="1">
        <v>231</v>
      </c>
      <c r="CU47" s="1">
        <v>234</v>
      </c>
      <c r="CV47" s="1">
        <v>233</v>
      </c>
      <c r="CW47" s="1">
        <v>232</v>
      </c>
    </row>
    <row r="48" spans="1:101" s="5" customFormat="1" ht="12.75" customHeight="1">
      <c r="A48" s="26" t="s">
        <v>143</v>
      </c>
      <c r="B48" s="5">
        <v>82</v>
      </c>
      <c r="C48" s="5">
        <v>107</v>
      </c>
      <c r="D48" s="5">
        <v>73</v>
      </c>
      <c r="E48" s="5">
        <v>80</v>
      </c>
      <c r="F48" s="5">
        <v>74</v>
      </c>
      <c r="G48" s="5">
        <v>60</v>
      </c>
      <c r="H48" s="5">
        <v>56</v>
      </c>
      <c r="I48" s="5">
        <v>59</v>
      </c>
      <c r="J48" s="5">
        <v>39</v>
      </c>
      <c r="K48" s="5">
        <v>61</v>
      </c>
      <c r="L48" s="5">
        <v>62</v>
      </c>
      <c r="M48" s="5">
        <v>55</v>
      </c>
      <c r="N48" s="5">
        <v>37</v>
      </c>
      <c r="O48" s="5">
        <v>37</v>
      </c>
      <c r="P48" s="47">
        <v>32</v>
      </c>
      <c r="Q48" s="47">
        <v>35</v>
      </c>
      <c r="R48" s="47">
        <v>55</v>
      </c>
      <c r="S48" s="47">
        <v>55</v>
      </c>
      <c r="T48" s="5">
        <v>46</v>
      </c>
      <c r="U48" s="5">
        <v>44</v>
      </c>
      <c r="V48" s="5">
        <v>48</v>
      </c>
      <c r="W48" s="5">
        <v>41</v>
      </c>
      <c r="X48" s="5">
        <v>46</v>
      </c>
      <c r="Y48" s="5">
        <v>49</v>
      </c>
      <c r="Z48" s="5">
        <v>37</v>
      </c>
      <c r="AA48" s="5">
        <v>44</v>
      </c>
      <c r="AB48" s="5">
        <v>46</v>
      </c>
      <c r="AC48" s="5">
        <v>52</v>
      </c>
      <c r="AD48" s="5">
        <v>42</v>
      </c>
      <c r="AE48" s="5">
        <v>37</v>
      </c>
      <c r="AF48" s="5">
        <v>35</v>
      </c>
      <c r="AG48" s="5">
        <v>31</v>
      </c>
      <c r="AH48" s="5">
        <v>32</v>
      </c>
      <c r="AI48" s="5">
        <v>44</v>
      </c>
      <c r="AJ48" s="5">
        <v>47</v>
      </c>
      <c r="AK48" s="5">
        <v>72</v>
      </c>
      <c r="AL48" s="5">
        <v>69</v>
      </c>
      <c r="AM48" s="5">
        <v>73</v>
      </c>
      <c r="AN48" s="5">
        <v>112</v>
      </c>
      <c r="AO48" s="5">
        <v>83</v>
      </c>
      <c r="AP48" s="5">
        <v>56</v>
      </c>
      <c r="AQ48" s="5">
        <v>54</v>
      </c>
      <c r="AR48" s="5">
        <v>75</v>
      </c>
      <c r="AS48" s="5">
        <v>85</v>
      </c>
      <c r="AT48" s="5">
        <v>94</v>
      </c>
      <c r="AU48" s="5">
        <v>100</v>
      </c>
      <c r="AV48" s="1">
        <v>96</v>
      </c>
      <c r="AW48" s="1">
        <v>86</v>
      </c>
      <c r="AX48" s="1">
        <v>92</v>
      </c>
      <c r="AY48" s="1">
        <v>92</v>
      </c>
      <c r="AZ48" s="88">
        <v>4</v>
      </c>
      <c r="BA48" s="5">
        <v>11</v>
      </c>
      <c r="BB48" s="5">
        <v>10</v>
      </c>
      <c r="BC48" s="5">
        <v>10</v>
      </c>
      <c r="BD48" s="5">
        <v>8</v>
      </c>
      <c r="BE48" s="5">
        <v>7</v>
      </c>
      <c r="BF48" s="5">
        <v>10</v>
      </c>
      <c r="BG48" s="5">
        <v>7</v>
      </c>
      <c r="BH48" s="5">
        <v>8</v>
      </c>
      <c r="BI48" s="5">
        <v>8</v>
      </c>
      <c r="BJ48" s="5">
        <v>21</v>
      </c>
      <c r="BK48" s="5">
        <v>14</v>
      </c>
      <c r="BL48" s="5">
        <v>10</v>
      </c>
      <c r="BM48" s="5">
        <v>12</v>
      </c>
      <c r="BN48" s="5">
        <v>15</v>
      </c>
      <c r="BO48" s="5">
        <v>29</v>
      </c>
      <c r="BP48" s="5">
        <v>12</v>
      </c>
      <c r="BQ48" s="5">
        <v>21</v>
      </c>
      <c r="BR48" s="5">
        <v>20</v>
      </c>
      <c r="BS48" s="5">
        <v>17</v>
      </c>
      <c r="BT48" s="5">
        <v>23</v>
      </c>
      <c r="BU48" s="5">
        <v>22</v>
      </c>
      <c r="BV48" s="5">
        <v>33</v>
      </c>
      <c r="BW48" s="5">
        <v>25</v>
      </c>
      <c r="BX48" s="5">
        <v>37</v>
      </c>
      <c r="BY48" s="5">
        <v>40</v>
      </c>
      <c r="BZ48" s="5">
        <v>33</v>
      </c>
      <c r="CA48" s="5">
        <v>35</v>
      </c>
      <c r="CB48" s="5">
        <v>29</v>
      </c>
      <c r="CC48" s="5">
        <v>31</v>
      </c>
      <c r="CD48" s="5">
        <v>23</v>
      </c>
      <c r="CE48" s="5">
        <v>36</v>
      </c>
      <c r="CF48" s="5">
        <v>22</v>
      </c>
      <c r="CG48" s="5">
        <v>46</v>
      </c>
      <c r="CH48" s="5">
        <v>43</v>
      </c>
      <c r="CI48" s="5">
        <v>117</v>
      </c>
      <c r="CJ48" s="5">
        <v>82</v>
      </c>
      <c r="CK48" s="5">
        <v>109</v>
      </c>
      <c r="CL48" s="5">
        <v>132</v>
      </c>
      <c r="CM48" s="5">
        <v>92</v>
      </c>
      <c r="CN48" s="5">
        <v>80</v>
      </c>
      <c r="CO48" s="5">
        <v>85</v>
      </c>
      <c r="CP48" s="5">
        <v>76</v>
      </c>
      <c r="CQ48" s="5">
        <v>68</v>
      </c>
      <c r="CR48" s="5">
        <v>69</v>
      </c>
      <c r="CS48" s="5">
        <v>93</v>
      </c>
      <c r="CT48" s="1">
        <v>95</v>
      </c>
      <c r="CU48" s="1">
        <v>99</v>
      </c>
      <c r="CV48" s="1">
        <v>94</v>
      </c>
      <c r="CW48" s="1">
        <v>82</v>
      </c>
    </row>
    <row r="49" spans="1:101" s="5" customFormat="1" ht="13">
      <c r="A49" s="26" t="s">
        <v>150</v>
      </c>
      <c r="B49" s="5">
        <v>1076</v>
      </c>
      <c r="C49" s="5">
        <v>1219</v>
      </c>
      <c r="D49" s="5">
        <v>1236</v>
      </c>
      <c r="E49" s="5">
        <v>1225</v>
      </c>
      <c r="F49" s="5">
        <v>1202</v>
      </c>
      <c r="G49" s="5">
        <v>1183</v>
      </c>
      <c r="H49" s="5">
        <v>1262</v>
      </c>
      <c r="I49" s="5">
        <v>1129</v>
      </c>
      <c r="J49" s="5">
        <v>1122</v>
      </c>
      <c r="K49" s="5">
        <v>1038</v>
      </c>
      <c r="L49" s="5">
        <v>1011</v>
      </c>
      <c r="M49" s="5">
        <v>933</v>
      </c>
      <c r="N49" s="5">
        <v>1000</v>
      </c>
      <c r="O49" s="5">
        <v>965</v>
      </c>
      <c r="P49" s="47">
        <v>955</v>
      </c>
      <c r="Q49" s="47">
        <v>896</v>
      </c>
      <c r="R49" s="47">
        <v>900</v>
      </c>
      <c r="S49" s="47">
        <v>1000</v>
      </c>
      <c r="T49" s="5">
        <v>891</v>
      </c>
      <c r="U49" s="5">
        <v>1018</v>
      </c>
      <c r="V49" s="5">
        <v>1056</v>
      </c>
      <c r="W49" s="5">
        <v>1071</v>
      </c>
      <c r="X49" s="5">
        <v>1066</v>
      </c>
      <c r="Y49" s="5">
        <v>1175</v>
      </c>
      <c r="Z49" s="5">
        <v>1246</v>
      </c>
      <c r="AA49" s="5">
        <v>1277</v>
      </c>
      <c r="AB49" s="5">
        <v>1262</v>
      </c>
      <c r="AC49" s="5">
        <v>1310</v>
      </c>
      <c r="AD49" s="5">
        <v>1259</v>
      </c>
      <c r="AE49" s="5">
        <v>1092</v>
      </c>
      <c r="AF49" s="5">
        <v>1146</v>
      </c>
      <c r="AG49" s="5">
        <v>1122</v>
      </c>
      <c r="AH49" s="5">
        <v>1021</v>
      </c>
      <c r="AI49" s="5">
        <v>970</v>
      </c>
      <c r="AJ49" s="5">
        <v>993</v>
      </c>
      <c r="AK49" s="5">
        <v>1026</v>
      </c>
      <c r="AL49" s="5">
        <v>1103</v>
      </c>
      <c r="AM49" s="5">
        <v>1095</v>
      </c>
      <c r="AN49" s="5">
        <v>1211</v>
      </c>
      <c r="AO49" s="5">
        <v>1085</v>
      </c>
      <c r="AP49" s="5">
        <v>1195</v>
      </c>
      <c r="AQ49" s="5">
        <v>1023</v>
      </c>
      <c r="AR49" s="5">
        <v>976</v>
      </c>
      <c r="AS49" s="5">
        <v>997</v>
      </c>
      <c r="AT49" s="5">
        <v>1089</v>
      </c>
      <c r="AU49" s="5">
        <v>1086</v>
      </c>
      <c r="AV49" s="1">
        <v>1173</v>
      </c>
      <c r="AW49" s="1">
        <v>1180</v>
      </c>
      <c r="AX49" s="1">
        <v>1126</v>
      </c>
      <c r="AY49" s="1">
        <v>1131</v>
      </c>
      <c r="AZ49" s="88">
        <v>186</v>
      </c>
      <c r="BA49" s="5">
        <v>200</v>
      </c>
      <c r="BB49" s="5">
        <v>239</v>
      </c>
      <c r="BC49" s="5">
        <v>294</v>
      </c>
      <c r="BD49" s="5">
        <v>288</v>
      </c>
      <c r="BE49" s="5">
        <v>382</v>
      </c>
      <c r="BF49" s="5">
        <v>403</v>
      </c>
      <c r="BG49" s="5">
        <v>413</v>
      </c>
      <c r="BH49" s="5">
        <v>478</v>
      </c>
      <c r="BI49" s="5">
        <v>511</v>
      </c>
      <c r="BJ49" s="5">
        <v>476</v>
      </c>
      <c r="BK49" s="5">
        <v>556</v>
      </c>
      <c r="BL49" s="5">
        <v>525</v>
      </c>
      <c r="BM49" s="5">
        <v>527</v>
      </c>
      <c r="BN49" s="5">
        <v>516</v>
      </c>
      <c r="BO49" s="5">
        <v>547</v>
      </c>
      <c r="BP49" s="5">
        <v>549</v>
      </c>
      <c r="BQ49" s="5">
        <v>611</v>
      </c>
      <c r="BR49" s="5">
        <v>568</v>
      </c>
      <c r="BS49" s="5">
        <v>634</v>
      </c>
      <c r="BT49" s="5">
        <v>653</v>
      </c>
      <c r="BU49" s="5">
        <v>680</v>
      </c>
      <c r="BV49" s="5">
        <v>700</v>
      </c>
      <c r="BW49" s="5">
        <v>798</v>
      </c>
      <c r="BX49" s="5">
        <v>881</v>
      </c>
      <c r="BY49" s="5">
        <v>914</v>
      </c>
      <c r="BZ49" s="5">
        <v>948</v>
      </c>
      <c r="CA49" s="5">
        <v>990</v>
      </c>
      <c r="CB49" s="5">
        <v>964</v>
      </c>
      <c r="CC49" s="5">
        <v>911</v>
      </c>
      <c r="CD49" s="5">
        <v>978</v>
      </c>
      <c r="CE49" s="5">
        <v>899</v>
      </c>
      <c r="CF49" s="5">
        <v>900</v>
      </c>
      <c r="CG49" s="5">
        <v>888</v>
      </c>
      <c r="CH49" s="5">
        <v>857</v>
      </c>
      <c r="CI49" s="5">
        <v>992</v>
      </c>
      <c r="CJ49" s="5">
        <v>987</v>
      </c>
      <c r="CK49" s="5">
        <v>1100</v>
      </c>
      <c r="CL49" s="5">
        <v>1184</v>
      </c>
      <c r="CM49" s="5">
        <v>1177</v>
      </c>
      <c r="CN49" s="5">
        <v>1091</v>
      </c>
      <c r="CO49" s="5">
        <v>975</v>
      </c>
      <c r="CP49" s="5">
        <v>951</v>
      </c>
      <c r="CQ49" s="5">
        <v>1004</v>
      </c>
      <c r="CR49" s="5">
        <v>976</v>
      </c>
      <c r="CS49" s="5">
        <v>1042</v>
      </c>
      <c r="CT49" s="1">
        <v>1036</v>
      </c>
      <c r="CU49" s="1">
        <v>994</v>
      </c>
      <c r="CV49" s="1">
        <v>1072</v>
      </c>
      <c r="CW49" s="1">
        <v>1106</v>
      </c>
    </row>
    <row r="50" spans="1:101" s="5" customFormat="1" ht="13">
      <c r="A50" s="26" t="s">
        <v>154</v>
      </c>
      <c r="B50" s="5">
        <v>60</v>
      </c>
      <c r="C50" s="5">
        <v>51</v>
      </c>
      <c r="D50" s="5">
        <v>47</v>
      </c>
      <c r="E50" s="5">
        <v>43</v>
      </c>
      <c r="F50" s="5">
        <v>49</v>
      </c>
      <c r="G50" s="5">
        <v>39</v>
      </c>
      <c r="H50" s="5">
        <v>32</v>
      </c>
      <c r="I50" s="5">
        <v>30</v>
      </c>
      <c r="J50" s="5">
        <v>41</v>
      </c>
      <c r="K50" s="5">
        <v>35</v>
      </c>
      <c r="L50" s="5">
        <v>34</v>
      </c>
      <c r="M50" s="5">
        <v>25</v>
      </c>
      <c r="N50" s="5">
        <v>32</v>
      </c>
      <c r="O50" s="5">
        <v>31</v>
      </c>
      <c r="P50" s="47">
        <v>35</v>
      </c>
      <c r="Q50" s="47">
        <v>38</v>
      </c>
      <c r="R50" s="47">
        <v>39</v>
      </c>
      <c r="S50" s="47">
        <v>40</v>
      </c>
      <c r="T50" s="5">
        <v>41</v>
      </c>
      <c r="U50" s="5">
        <v>34</v>
      </c>
      <c r="V50" s="5">
        <v>30</v>
      </c>
      <c r="W50" s="5">
        <v>32</v>
      </c>
      <c r="X50" s="5">
        <v>39</v>
      </c>
      <c r="Y50" s="5">
        <v>30</v>
      </c>
      <c r="Z50" s="5">
        <v>38</v>
      </c>
      <c r="AA50" s="5">
        <v>31</v>
      </c>
      <c r="AB50" s="5">
        <v>52</v>
      </c>
      <c r="AC50" s="5">
        <v>52</v>
      </c>
      <c r="AD50" s="5">
        <v>33</v>
      </c>
      <c r="AE50" s="5">
        <v>45</v>
      </c>
      <c r="AF50" s="5">
        <v>44</v>
      </c>
      <c r="AG50" s="5">
        <v>47</v>
      </c>
      <c r="AH50" s="5">
        <v>43</v>
      </c>
      <c r="AI50" s="5">
        <v>37</v>
      </c>
      <c r="AJ50" s="5">
        <v>43</v>
      </c>
      <c r="AK50" s="5">
        <v>43</v>
      </c>
      <c r="AL50" s="5">
        <v>41</v>
      </c>
      <c r="AM50" s="5">
        <v>44</v>
      </c>
      <c r="AN50" s="5">
        <v>48</v>
      </c>
      <c r="AO50" s="5">
        <v>47</v>
      </c>
      <c r="AP50" s="5">
        <v>55</v>
      </c>
      <c r="AQ50" s="5">
        <v>47</v>
      </c>
      <c r="AR50" s="5">
        <v>59</v>
      </c>
      <c r="AS50" s="5">
        <v>52</v>
      </c>
      <c r="AT50" s="5">
        <v>68</v>
      </c>
      <c r="AU50" s="5">
        <v>79</v>
      </c>
      <c r="AV50" s="1">
        <v>80</v>
      </c>
      <c r="AW50" s="1">
        <v>83</v>
      </c>
      <c r="AX50" s="1">
        <v>76</v>
      </c>
      <c r="AY50" s="1">
        <v>95</v>
      </c>
      <c r="AZ50" s="88">
        <v>3</v>
      </c>
      <c r="BA50" s="5">
        <v>1</v>
      </c>
      <c r="BB50" s="5">
        <v>4</v>
      </c>
      <c r="BC50" s="5">
        <v>7</v>
      </c>
      <c r="BD50" s="5">
        <v>2</v>
      </c>
      <c r="BE50" s="5">
        <v>7</v>
      </c>
      <c r="BF50" s="5">
        <v>13</v>
      </c>
      <c r="BG50" s="5">
        <v>18</v>
      </c>
      <c r="BH50" s="5">
        <v>9</v>
      </c>
      <c r="BI50" s="5">
        <v>10</v>
      </c>
      <c r="BJ50" s="5">
        <v>3</v>
      </c>
      <c r="BK50" s="5">
        <v>8</v>
      </c>
      <c r="BL50" s="5">
        <v>9</v>
      </c>
      <c r="BM50" s="5">
        <v>17</v>
      </c>
      <c r="BN50" s="5">
        <v>12</v>
      </c>
      <c r="BO50" s="5">
        <v>15</v>
      </c>
      <c r="BP50" s="5">
        <v>21</v>
      </c>
      <c r="BQ50" s="5">
        <v>25</v>
      </c>
      <c r="BR50" s="5">
        <v>10</v>
      </c>
      <c r="BS50" s="5">
        <v>14</v>
      </c>
      <c r="BT50" s="5">
        <v>14</v>
      </c>
      <c r="BU50" s="5">
        <v>17</v>
      </c>
      <c r="BV50" s="5">
        <v>21</v>
      </c>
      <c r="BW50" s="5">
        <v>22</v>
      </c>
      <c r="BX50" s="5">
        <v>22</v>
      </c>
      <c r="BY50" s="5">
        <v>32</v>
      </c>
      <c r="BZ50" s="5">
        <v>40</v>
      </c>
      <c r="CA50" s="5">
        <v>43</v>
      </c>
      <c r="CB50" s="5">
        <v>38</v>
      </c>
      <c r="CC50" s="5">
        <v>20</v>
      </c>
      <c r="CD50" s="5">
        <v>34</v>
      </c>
      <c r="CE50" s="5">
        <v>52</v>
      </c>
      <c r="CF50" s="5">
        <v>30</v>
      </c>
      <c r="CG50" s="5">
        <v>38</v>
      </c>
      <c r="CH50" s="5">
        <v>48</v>
      </c>
      <c r="CI50" s="5">
        <v>46</v>
      </c>
      <c r="CJ50" s="5">
        <v>35</v>
      </c>
      <c r="CK50" s="5">
        <v>47</v>
      </c>
      <c r="CL50" s="5">
        <v>61</v>
      </c>
      <c r="CM50" s="5">
        <v>57</v>
      </c>
      <c r="CN50" s="5">
        <v>44</v>
      </c>
      <c r="CO50" s="5">
        <v>44</v>
      </c>
      <c r="CP50" s="5">
        <v>54</v>
      </c>
      <c r="CQ50" s="5">
        <v>60</v>
      </c>
      <c r="CR50" s="5">
        <v>67</v>
      </c>
      <c r="CS50" s="5">
        <v>68</v>
      </c>
      <c r="CT50" s="1">
        <v>97</v>
      </c>
      <c r="CU50" s="1">
        <v>43</v>
      </c>
      <c r="CV50" s="1">
        <v>73</v>
      </c>
      <c r="CW50" s="1">
        <v>68</v>
      </c>
    </row>
    <row r="51" spans="1:101" s="5" customFormat="1" ht="13">
      <c r="A51" s="25" t="s">
        <v>157</v>
      </c>
      <c r="B51" s="5">
        <v>810</v>
      </c>
      <c r="C51" s="5">
        <v>836</v>
      </c>
      <c r="D51" s="5">
        <v>734</v>
      </c>
      <c r="E51" s="5">
        <v>751</v>
      </c>
      <c r="F51" s="5">
        <v>768</v>
      </c>
      <c r="G51" s="5">
        <v>717</v>
      </c>
      <c r="H51" s="5">
        <v>714</v>
      </c>
      <c r="I51" s="5">
        <v>591</v>
      </c>
      <c r="J51" s="5">
        <v>580</v>
      </c>
      <c r="K51" s="5">
        <v>599</v>
      </c>
      <c r="L51" s="5">
        <v>562</v>
      </c>
      <c r="M51" s="5">
        <v>513</v>
      </c>
      <c r="N51" s="5">
        <v>564</v>
      </c>
      <c r="O51" s="5">
        <v>502</v>
      </c>
      <c r="P51" s="47">
        <v>512</v>
      </c>
      <c r="Q51" s="47">
        <v>555</v>
      </c>
      <c r="R51" s="47">
        <v>523</v>
      </c>
      <c r="S51" s="47">
        <v>572</v>
      </c>
      <c r="T51" s="5">
        <v>563</v>
      </c>
      <c r="U51" s="5">
        <v>560</v>
      </c>
      <c r="V51" s="5">
        <v>562</v>
      </c>
      <c r="W51" s="5">
        <v>598</v>
      </c>
      <c r="X51" s="5">
        <v>535</v>
      </c>
      <c r="Y51" s="5">
        <v>556</v>
      </c>
      <c r="Z51" s="5">
        <v>645</v>
      </c>
      <c r="AA51" s="5">
        <v>584</v>
      </c>
      <c r="AB51" s="5">
        <v>544</v>
      </c>
      <c r="AC51" s="5">
        <v>602</v>
      </c>
      <c r="AD51" s="5">
        <v>561</v>
      </c>
      <c r="AE51" s="5">
        <v>498</v>
      </c>
      <c r="AF51" s="5">
        <v>531</v>
      </c>
      <c r="AG51" s="5">
        <v>511</v>
      </c>
      <c r="AH51" s="5">
        <v>481</v>
      </c>
      <c r="AI51" s="5">
        <v>486</v>
      </c>
      <c r="AJ51" s="5">
        <v>472</v>
      </c>
      <c r="AK51" s="5">
        <v>496</v>
      </c>
      <c r="AL51" s="5">
        <v>511</v>
      </c>
      <c r="AM51" s="5">
        <v>588</v>
      </c>
      <c r="AN51" s="5">
        <v>541</v>
      </c>
      <c r="AO51" s="5">
        <v>592</v>
      </c>
      <c r="AP51" s="5">
        <v>521</v>
      </c>
      <c r="AQ51" s="5">
        <v>545</v>
      </c>
      <c r="AR51" s="5">
        <v>580</v>
      </c>
      <c r="AS51" s="5">
        <v>565</v>
      </c>
      <c r="AT51" s="5">
        <v>598</v>
      </c>
      <c r="AU51" s="5">
        <v>602</v>
      </c>
      <c r="AV51" s="1">
        <v>647</v>
      </c>
      <c r="AW51" s="1">
        <v>663</v>
      </c>
      <c r="AX51" s="1">
        <v>613</v>
      </c>
      <c r="AY51" s="1">
        <v>624</v>
      </c>
      <c r="AZ51" s="88">
        <v>124</v>
      </c>
      <c r="BA51" s="5">
        <v>124</v>
      </c>
      <c r="BB51" s="5">
        <v>127</v>
      </c>
      <c r="BC51" s="5">
        <v>151</v>
      </c>
      <c r="BD51" s="5">
        <v>143</v>
      </c>
      <c r="BE51" s="5">
        <v>200</v>
      </c>
      <c r="BF51" s="5">
        <v>185</v>
      </c>
      <c r="BG51" s="5">
        <v>174</v>
      </c>
      <c r="BH51" s="5">
        <v>177</v>
      </c>
      <c r="BI51" s="5">
        <v>208</v>
      </c>
      <c r="BJ51" s="5">
        <v>198</v>
      </c>
      <c r="BK51" s="5">
        <v>210</v>
      </c>
      <c r="BL51" s="5">
        <v>215</v>
      </c>
      <c r="BM51" s="5">
        <v>194</v>
      </c>
      <c r="BN51" s="5">
        <v>230</v>
      </c>
      <c r="BO51" s="5">
        <v>242</v>
      </c>
      <c r="BP51" s="5">
        <v>224</v>
      </c>
      <c r="BQ51" s="5">
        <v>216</v>
      </c>
      <c r="BR51" s="5">
        <v>249</v>
      </c>
      <c r="BS51" s="5">
        <v>211</v>
      </c>
      <c r="BT51" s="5">
        <v>300</v>
      </c>
      <c r="BU51" s="5">
        <v>274</v>
      </c>
      <c r="BV51" s="5">
        <v>295</v>
      </c>
      <c r="BW51" s="5">
        <v>295</v>
      </c>
      <c r="BX51" s="5">
        <v>311</v>
      </c>
      <c r="BY51" s="5">
        <v>323</v>
      </c>
      <c r="BZ51" s="5">
        <v>373</v>
      </c>
      <c r="CA51" s="5">
        <v>384</v>
      </c>
      <c r="CB51" s="5">
        <v>387</v>
      </c>
      <c r="CC51" s="5">
        <v>393</v>
      </c>
      <c r="CD51" s="5">
        <v>353</v>
      </c>
      <c r="CE51" s="5">
        <v>341</v>
      </c>
      <c r="CF51" s="5">
        <v>376</v>
      </c>
      <c r="CG51" s="5">
        <v>340</v>
      </c>
      <c r="CH51" s="5">
        <v>330</v>
      </c>
      <c r="CI51" s="5">
        <v>450</v>
      </c>
      <c r="CJ51" s="5">
        <v>450</v>
      </c>
      <c r="CK51" s="5">
        <v>525</v>
      </c>
      <c r="CL51" s="5">
        <v>474</v>
      </c>
      <c r="CM51" s="5">
        <v>462</v>
      </c>
      <c r="CN51" s="5">
        <v>461</v>
      </c>
      <c r="CO51" s="5">
        <v>490</v>
      </c>
      <c r="CP51" s="5">
        <v>560</v>
      </c>
      <c r="CQ51" s="5">
        <v>533</v>
      </c>
      <c r="CR51" s="5">
        <v>591</v>
      </c>
      <c r="CS51" s="5">
        <v>580</v>
      </c>
      <c r="CT51" s="1">
        <v>533</v>
      </c>
      <c r="CU51" s="1">
        <v>543</v>
      </c>
      <c r="CV51" s="1">
        <v>547</v>
      </c>
      <c r="CW51" s="1">
        <v>518</v>
      </c>
    </row>
    <row r="52" spans="1:101">
      <c r="A52" s="37" t="s">
        <v>212</v>
      </c>
      <c r="B52" s="38">
        <f t="shared" ref="B52:BV52" si="56">SUM(B54:B62)</f>
        <v>6587</v>
      </c>
      <c r="C52" s="38">
        <f t="shared" si="56"/>
        <v>6809</v>
      </c>
      <c r="D52" s="38">
        <f t="shared" si="56"/>
        <v>7105</v>
      </c>
      <c r="E52" s="38">
        <f t="shared" si="56"/>
        <v>7590</v>
      </c>
      <c r="F52" s="38">
        <f t="shared" si="56"/>
        <v>6883</v>
      </c>
      <c r="G52" s="38">
        <f t="shared" si="56"/>
        <v>6721</v>
      </c>
      <c r="H52" s="38">
        <f t="shared" si="56"/>
        <v>6684</v>
      </c>
      <c r="I52" s="38">
        <f t="shared" si="56"/>
        <v>6348</v>
      </c>
      <c r="J52" s="38">
        <f t="shared" si="56"/>
        <v>6009</v>
      </c>
      <c r="K52" s="38">
        <f t="shared" si="56"/>
        <v>5867</v>
      </c>
      <c r="L52" s="38">
        <f t="shared" si="56"/>
        <v>5641</v>
      </c>
      <c r="M52" s="38">
        <f t="shared" si="56"/>
        <v>5693</v>
      </c>
      <c r="N52" s="38">
        <f t="shared" si="56"/>
        <v>5592</v>
      </c>
      <c r="O52" s="38">
        <f t="shared" si="56"/>
        <v>5377</v>
      </c>
      <c r="P52" s="38">
        <f t="shared" si="56"/>
        <v>5467</v>
      </c>
      <c r="Q52" s="38">
        <f t="shared" si="56"/>
        <v>5403</v>
      </c>
      <c r="R52" s="38">
        <f t="shared" si="56"/>
        <v>5427</v>
      </c>
      <c r="S52" s="38">
        <f t="shared" si="56"/>
        <v>5495</v>
      </c>
      <c r="T52" s="38">
        <f t="shared" si="56"/>
        <v>5662</v>
      </c>
      <c r="U52" s="38">
        <f t="shared" si="56"/>
        <v>5721</v>
      </c>
      <c r="V52" s="38">
        <f t="shared" si="56"/>
        <v>6043</v>
      </c>
      <c r="W52" s="38">
        <f t="shared" si="56"/>
        <v>6293</v>
      </c>
      <c r="X52" s="38">
        <f t="shared" si="56"/>
        <v>6315</v>
      </c>
      <c r="Y52" s="38">
        <f t="shared" si="56"/>
        <v>6483</v>
      </c>
      <c r="Z52" s="38">
        <f t="shared" si="56"/>
        <v>6532</v>
      </c>
      <c r="AA52" s="38">
        <f t="shared" si="56"/>
        <v>6464</v>
      </c>
      <c r="AB52" s="38">
        <f t="shared" si="56"/>
        <v>6316</v>
      </c>
      <c r="AC52" s="38">
        <f t="shared" si="56"/>
        <v>6412</v>
      </c>
      <c r="AD52" s="38">
        <f t="shared" si="56"/>
        <v>6305</v>
      </c>
      <c r="AE52" s="38">
        <f t="shared" si="56"/>
        <v>5814</v>
      </c>
      <c r="AF52" s="38">
        <f t="shared" si="56"/>
        <v>5762</v>
      </c>
      <c r="AG52" s="38">
        <f t="shared" si="56"/>
        <v>5673</v>
      </c>
      <c r="AH52" s="38">
        <f t="shared" si="56"/>
        <v>5409</v>
      </c>
      <c r="AI52" s="38">
        <f t="shared" si="56"/>
        <v>5685</v>
      </c>
      <c r="AJ52" s="38">
        <f t="shared" si="56"/>
        <v>6006</v>
      </c>
      <c r="AK52" s="38">
        <f t="shared" si="56"/>
        <v>6281</v>
      </c>
      <c r="AL52" s="38">
        <f t="shared" si="56"/>
        <v>6642</v>
      </c>
      <c r="AM52" s="38">
        <f t="shared" si="56"/>
        <v>6989</v>
      </c>
      <c r="AN52" s="38">
        <f t="shared" si="56"/>
        <v>6833</v>
      </c>
      <c r="AO52" s="38">
        <f t="shared" si="56"/>
        <v>6787</v>
      </c>
      <c r="AP52" s="38">
        <f t="shared" ref="AP52:AQ52" si="57">SUM(AP54:AP62)</f>
        <v>6181</v>
      </c>
      <c r="AQ52" s="38">
        <f t="shared" si="57"/>
        <v>6577</v>
      </c>
      <c r="AR52" s="38">
        <f t="shared" ref="AR52:AS52" si="58">SUM(AR54:AR62)</f>
        <v>6656</v>
      </c>
      <c r="AS52" s="38">
        <f t="shared" si="58"/>
        <v>6873</v>
      </c>
      <c r="AT52" s="38">
        <f t="shared" ref="AT52:AY52" si="59">SUM(AT54:AT62)</f>
        <v>7120</v>
      </c>
      <c r="AU52" s="38">
        <f t="shared" si="59"/>
        <v>7115</v>
      </c>
      <c r="AV52" s="38">
        <f t="shared" si="59"/>
        <v>7415</v>
      </c>
      <c r="AW52" s="38">
        <f t="shared" si="59"/>
        <v>7151</v>
      </c>
      <c r="AX52" s="38">
        <f t="shared" si="59"/>
        <v>7398</v>
      </c>
      <c r="AY52" s="38">
        <f t="shared" si="59"/>
        <v>7548</v>
      </c>
      <c r="AZ52" s="60">
        <f t="shared" si="56"/>
        <v>1242</v>
      </c>
      <c r="BA52" s="38">
        <f t="shared" si="56"/>
        <v>1372</v>
      </c>
      <c r="BB52" s="38">
        <f t="shared" si="56"/>
        <v>1670</v>
      </c>
      <c r="BC52" s="38">
        <f t="shared" si="56"/>
        <v>1871</v>
      </c>
      <c r="BD52" s="38">
        <f t="shared" si="56"/>
        <v>1995</v>
      </c>
      <c r="BE52" s="38">
        <f t="shared" si="56"/>
        <v>2154</v>
      </c>
      <c r="BF52" s="38">
        <f t="shared" si="56"/>
        <v>2380</v>
      </c>
      <c r="BG52" s="38">
        <f t="shared" si="56"/>
        <v>2355</v>
      </c>
      <c r="BH52" s="38">
        <f t="shared" si="56"/>
        <v>2544</v>
      </c>
      <c r="BI52" s="38">
        <f t="shared" si="56"/>
        <v>2577</v>
      </c>
      <c r="BJ52" s="38">
        <f t="shared" si="56"/>
        <v>2700</v>
      </c>
      <c r="BK52" s="38">
        <f t="shared" si="56"/>
        <v>2798</v>
      </c>
      <c r="BL52" s="38">
        <f t="shared" si="56"/>
        <v>2898</v>
      </c>
      <c r="BM52" s="38">
        <f t="shared" si="56"/>
        <v>2964</v>
      </c>
      <c r="BN52" s="38">
        <f t="shared" si="56"/>
        <v>3066</v>
      </c>
      <c r="BO52" s="38">
        <f t="shared" si="56"/>
        <v>3043</v>
      </c>
      <c r="BP52" s="38">
        <f t="shared" si="56"/>
        <v>3247</v>
      </c>
      <c r="BQ52" s="38">
        <f t="shared" si="56"/>
        <v>3141</v>
      </c>
      <c r="BR52" s="38">
        <f t="shared" si="56"/>
        <v>3289</v>
      </c>
      <c r="BS52" s="38">
        <f t="shared" si="56"/>
        <v>3565</v>
      </c>
      <c r="BT52" s="38">
        <f t="shared" si="56"/>
        <v>3750</v>
      </c>
      <c r="BU52" s="38">
        <f t="shared" si="56"/>
        <v>3884</v>
      </c>
      <c r="BV52" s="38">
        <f t="shared" si="56"/>
        <v>3974</v>
      </c>
      <c r="BW52" s="38">
        <f t="shared" ref="BW52:CM52" si="60">SUM(BW54:BW62)</f>
        <v>4180</v>
      </c>
      <c r="BX52" s="38">
        <f t="shared" si="60"/>
        <v>4152</v>
      </c>
      <c r="BY52" s="38">
        <f t="shared" si="60"/>
        <v>4458</v>
      </c>
      <c r="BZ52" s="38">
        <f t="shared" si="60"/>
        <v>4326</v>
      </c>
      <c r="CA52" s="38">
        <f t="shared" si="60"/>
        <v>4405</v>
      </c>
      <c r="CB52" s="38">
        <f t="shared" si="60"/>
        <v>4826</v>
      </c>
      <c r="CC52" s="38">
        <f t="shared" si="60"/>
        <v>4462</v>
      </c>
      <c r="CD52" s="38">
        <f t="shared" si="60"/>
        <v>4694</v>
      </c>
      <c r="CE52" s="38">
        <f t="shared" si="60"/>
        <v>4579</v>
      </c>
      <c r="CF52" s="38">
        <f t="shared" si="60"/>
        <v>4683</v>
      </c>
      <c r="CG52" s="38">
        <f t="shared" si="60"/>
        <v>4995</v>
      </c>
      <c r="CH52" s="38">
        <f t="shared" si="60"/>
        <v>5603</v>
      </c>
      <c r="CI52" s="38">
        <f t="shared" si="60"/>
        <v>6033</v>
      </c>
      <c r="CJ52" s="38">
        <f t="shared" si="60"/>
        <v>6740</v>
      </c>
      <c r="CK52" s="38">
        <f t="shared" si="60"/>
        <v>7181</v>
      </c>
      <c r="CL52" s="38">
        <f t="shared" si="60"/>
        <v>7024</v>
      </c>
      <c r="CM52" s="38">
        <f t="shared" si="60"/>
        <v>6824</v>
      </c>
      <c r="CN52" s="38">
        <f t="shared" ref="CN52:CO52" si="61">SUM(CN54:CN62)</f>
        <v>5972</v>
      </c>
      <c r="CO52" s="38">
        <f t="shared" si="61"/>
        <v>6142</v>
      </c>
      <c r="CP52" s="38">
        <f t="shared" ref="CP52:CQ52" si="62">SUM(CP54:CP62)</f>
        <v>6472</v>
      </c>
      <c r="CQ52" s="38">
        <f t="shared" si="62"/>
        <v>6343</v>
      </c>
      <c r="CR52" s="38">
        <f t="shared" ref="CR52:CW52" si="63">SUM(CR54:CR62)</f>
        <v>6832</v>
      </c>
      <c r="CS52" s="38">
        <f t="shared" si="63"/>
        <v>6638</v>
      </c>
      <c r="CT52" s="38">
        <f t="shared" si="63"/>
        <v>6882</v>
      </c>
      <c r="CU52" s="38">
        <f t="shared" si="63"/>
        <v>6867</v>
      </c>
      <c r="CV52" s="38">
        <f t="shared" si="63"/>
        <v>7217</v>
      </c>
      <c r="CW52" s="38">
        <f t="shared" si="63"/>
        <v>7138</v>
      </c>
    </row>
    <row r="53" spans="1:101">
      <c r="A53" s="39" t="s">
        <v>213</v>
      </c>
      <c r="B53" s="40">
        <f t="shared" ref="B53:BV53" si="64">(B52/B4)*100</f>
        <v>25.454053636293377</v>
      </c>
      <c r="C53" s="40">
        <f t="shared" si="64"/>
        <v>24.750099960015994</v>
      </c>
      <c r="D53" s="40">
        <f t="shared" si="64"/>
        <v>25.303607678336121</v>
      </c>
      <c r="E53" s="40">
        <f t="shared" si="64"/>
        <v>26.57376934388348</v>
      </c>
      <c r="F53" s="40">
        <f t="shared" si="64"/>
        <v>25.169122755695323</v>
      </c>
      <c r="G53" s="40">
        <f t="shared" si="64"/>
        <v>25.078358208955226</v>
      </c>
      <c r="H53" s="40">
        <f t="shared" si="64"/>
        <v>25.47450262977361</v>
      </c>
      <c r="I53" s="40">
        <f t="shared" si="64"/>
        <v>25.263660604131015</v>
      </c>
      <c r="J53" s="40">
        <f t="shared" si="64"/>
        <v>25.409108207535201</v>
      </c>
      <c r="K53" s="40">
        <f t="shared" si="64"/>
        <v>24.938366063079144</v>
      </c>
      <c r="L53" s="40">
        <f t="shared" si="64"/>
        <v>24.603105373342636</v>
      </c>
      <c r="M53" s="40">
        <f t="shared" si="64"/>
        <v>25.080400017621923</v>
      </c>
      <c r="N53" s="40">
        <f t="shared" si="64"/>
        <v>25.181249155671637</v>
      </c>
      <c r="O53" s="40">
        <f t="shared" si="64"/>
        <v>24.561483646994336</v>
      </c>
      <c r="P53" s="40">
        <f t="shared" si="64"/>
        <v>24.797024538485964</v>
      </c>
      <c r="Q53" s="40">
        <f t="shared" si="64"/>
        <v>24.91698948533481</v>
      </c>
      <c r="R53" s="40">
        <f t="shared" si="64"/>
        <v>24.891070036233547</v>
      </c>
      <c r="S53" s="40">
        <f t="shared" si="64"/>
        <v>24.928548745633535</v>
      </c>
      <c r="T53" s="40">
        <f t="shared" si="64"/>
        <v>25.079730687455704</v>
      </c>
      <c r="U53" s="40">
        <f t="shared" si="64"/>
        <v>25.209306424605622</v>
      </c>
      <c r="V53" s="40">
        <f t="shared" si="64"/>
        <v>24.783660747241932</v>
      </c>
      <c r="W53" s="40">
        <f t="shared" si="64"/>
        <v>25.447854745440573</v>
      </c>
      <c r="X53" s="40">
        <f t="shared" si="64"/>
        <v>24.725920125293658</v>
      </c>
      <c r="Y53" s="40">
        <f t="shared" si="64"/>
        <v>24.886756238003837</v>
      </c>
      <c r="Z53" s="40">
        <f t="shared" si="64"/>
        <v>24.627681634807523</v>
      </c>
      <c r="AA53" s="40">
        <f t="shared" si="64"/>
        <v>24.046724452215322</v>
      </c>
      <c r="AB53" s="40">
        <f t="shared" si="64"/>
        <v>23.577721367776615</v>
      </c>
      <c r="AC53" s="40">
        <f t="shared" si="64"/>
        <v>23.652661477738022</v>
      </c>
      <c r="AD53" s="40">
        <f t="shared" si="64"/>
        <v>23.646114611461147</v>
      </c>
      <c r="AE53" s="40">
        <f t="shared" si="64"/>
        <v>23.120973514674304</v>
      </c>
      <c r="AF53" s="40">
        <f t="shared" si="64"/>
        <v>23.022215119066644</v>
      </c>
      <c r="AG53" s="40">
        <f t="shared" si="64"/>
        <v>22.941604658686508</v>
      </c>
      <c r="AH53" s="40">
        <f t="shared" si="64"/>
        <v>22.815083516112704</v>
      </c>
      <c r="AI53" s="40">
        <f t="shared" si="64"/>
        <v>23.346063816681038</v>
      </c>
      <c r="AJ53" s="40">
        <f t="shared" si="64"/>
        <v>23.734439834024894</v>
      </c>
      <c r="AK53" s="40">
        <f t="shared" si="64"/>
        <v>23.286249212175139</v>
      </c>
      <c r="AL53" s="40">
        <f t="shared" si="64"/>
        <v>23.280757097791799</v>
      </c>
      <c r="AM53" s="40">
        <f t="shared" si="64"/>
        <v>23.103368483686491</v>
      </c>
      <c r="AN53" s="40">
        <f t="shared" si="64"/>
        <v>22.424600439762397</v>
      </c>
      <c r="AO53" s="40">
        <f t="shared" si="64"/>
        <v>22.333004277722935</v>
      </c>
      <c r="AP53" s="40">
        <f t="shared" ref="AP53:AQ53" si="65">(AP52/AP4)*100</f>
        <v>21.380145278450364</v>
      </c>
      <c r="AQ53" s="40">
        <f t="shared" si="65"/>
        <v>22.134347445648515</v>
      </c>
      <c r="AR53" s="40">
        <f t="shared" ref="AR53:AS53" si="66">(AR52/AR4)*100</f>
        <v>21.75447770950451</v>
      </c>
      <c r="AS53" s="40">
        <f t="shared" si="66"/>
        <v>21.574536208682552</v>
      </c>
      <c r="AT53" s="40">
        <f t="shared" ref="AT53:AY53" si="67">(AT52/AT4)*100</f>
        <v>21.756401637841471</v>
      </c>
      <c r="AU53" s="40">
        <f t="shared" si="67"/>
        <v>21.331774299934043</v>
      </c>
      <c r="AV53" s="40">
        <f t="shared" si="67"/>
        <v>22.148873887328993</v>
      </c>
      <c r="AW53" s="40">
        <f t="shared" si="67"/>
        <v>21.053406347523996</v>
      </c>
      <c r="AX53" s="40">
        <f t="shared" si="67"/>
        <v>21.395725482256992</v>
      </c>
      <c r="AY53" s="40">
        <f t="shared" si="67"/>
        <v>21.518373863215214</v>
      </c>
      <c r="AZ53" s="61">
        <f t="shared" si="64"/>
        <v>31.237424547283705</v>
      </c>
      <c r="BA53" s="40">
        <f t="shared" si="64"/>
        <v>29.975966790474111</v>
      </c>
      <c r="BB53" s="40">
        <f t="shared" si="64"/>
        <v>31.670775649535372</v>
      </c>
      <c r="BC53" s="40">
        <f t="shared" si="64"/>
        <v>30.148243635191751</v>
      </c>
      <c r="BD53" s="40">
        <f t="shared" si="64"/>
        <v>30.925437916602078</v>
      </c>
      <c r="BE53" s="40">
        <f t="shared" si="64"/>
        <v>29.644921552436003</v>
      </c>
      <c r="BF53" s="40">
        <f t="shared" si="64"/>
        <v>30.524560728485316</v>
      </c>
      <c r="BG53" s="40">
        <f t="shared" si="64"/>
        <v>29.110012360939429</v>
      </c>
      <c r="BH53" s="40">
        <f t="shared" si="64"/>
        <v>30.024784609937448</v>
      </c>
      <c r="BI53" s="40">
        <f t="shared" si="64"/>
        <v>28.044400914136467</v>
      </c>
      <c r="BJ53" s="40">
        <f t="shared" si="64"/>
        <v>27.915632754342433</v>
      </c>
      <c r="BK53" s="40">
        <f t="shared" si="64"/>
        <v>27.305552844735043</v>
      </c>
      <c r="BL53" s="40">
        <f t="shared" si="64"/>
        <v>27.644758179910333</v>
      </c>
      <c r="BM53" s="40">
        <f t="shared" si="64"/>
        <v>27.267709291628332</v>
      </c>
      <c r="BN53" s="40">
        <f t="shared" si="64"/>
        <v>27.517501346257404</v>
      </c>
      <c r="BO53" s="40">
        <f t="shared" si="64"/>
        <v>27.080181543116488</v>
      </c>
      <c r="BP53" s="40">
        <f t="shared" si="64"/>
        <v>27.447168216398985</v>
      </c>
      <c r="BQ53" s="40">
        <f t="shared" si="64"/>
        <v>26.231835643895106</v>
      </c>
      <c r="BR53" s="40">
        <f t="shared" si="64"/>
        <v>26.877502655879709</v>
      </c>
      <c r="BS53" s="40">
        <f t="shared" si="64"/>
        <v>27.322194972409562</v>
      </c>
      <c r="BT53" s="40">
        <f t="shared" si="64"/>
        <v>26.854769407046692</v>
      </c>
      <c r="BU53" s="40">
        <f t="shared" si="64"/>
        <v>26.716192048424819</v>
      </c>
      <c r="BV53" s="40">
        <f t="shared" si="64"/>
        <v>26.314395444312012</v>
      </c>
      <c r="BW53" s="40">
        <f t="shared" ref="BW53:CM53" si="68">(BW52/BW4)*100</f>
        <v>26.041991153199177</v>
      </c>
      <c r="BX53" s="40">
        <f t="shared" si="68"/>
        <v>24.977440895145282</v>
      </c>
      <c r="BY53" s="40">
        <f t="shared" si="68"/>
        <v>25.443753210433194</v>
      </c>
      <c r="BZ53" s="40">
        <f t="shared" si="68"/>
        <v>24.29518139952825</v>
      </c>
      <c r="CA53" s="40">
        <f t="shared" si="68"/>
        <v>23.522187216318684</v>
      </c>
      <c r="CB53" s="40">
        <f t="shared" si="68"/>
        <v>24.945725214514628</v>
      </c>
      <c r="CC53" s="40">
        <f t="shared" si="68"/>
        <v>23.569806138080398</v>
      </c>
      <c r="CD53" s="40">
        <f t="shared" si="68"/>
        <v>23.731041456016179</v>
      </c>
      <c r="CE53" s="40">
        <f t="shared" si="68"/>
        <v>22.69528152260111</v>
      </c>
      <c r="CF53" s="40">
        <f t="shared" si="68"/>
        <v>22.897516135341288</v>
      </c>
      <c r="CG53" s="40">
        <f t="shared" si="68"/>
        <v>23.027983956479645</v>
      </c>
      <c r="CH53" s="40">
        <f t="shared" si="68"/>
        <v>24.31013536966331</v>
      </c>
      <c r="CI53" s="40">
        <f t="shared" si="68"/>
        <v>23.513134305090031</v>
      </c>
      <c r="CJ53" s="40">
        <f t="shared" si="68"/>
        <v>24.678700889751383</v>
      </c>
      <c r="CK53" s="40">
        <f t="shared" si="68"/>
        <v>23.648937921949614</v>
      </c>
      <c r="CL53" s="40">
        <f t="shared" si="68"/>
        <v>22.762330675999738</v>
      </c>
      <c r="CM53" s="40">
        <f t="shared" si="68"/>
        <v>21.992329756034675</v>
      </c>
      <c r="CN53" s="40">
        <f t="shared" ref="CN53:CO53" si="69">(CN52/CN4)*100</f>
        <v>21.166796625788614</v>
      </c>
      <c r="CO53" s="40">
        <f t="shared" si="69"/>
        <v>21.57889189474054</v>
      </c>
      <c r="CP53" s="40">
        <f t="shared" ref="CP53:CQ53" si="70">(CP52/CP4)*100</f>
        <v>21.924119241192411</v>
      </c>
      <c r="CQ53" s="40">
        <f t="shared" si="70"/>
        <v>20.832238570677877</v>
      </c>
      <c r="CR53" s="40">
        <f t="shared" ref="CR53:CW53" si="71">(CR52/CR4)*100</f>
        <v>21.592920353982301</v>
      </c>
      <c r="CS53" s="40">
        <f t="shared" si="71"/>
        <v>20.475015422578654</v>
      </c>
      <c r="CT53" s="40">
        <f t="shared" si="71"/>
        <v>21.249922806150806</v>
      </c>
      <c r="CU53" s="40">
        <f t="shared" si="71"/>
        <v>20.689343496731041</v>
      </c>
      <c r="CV53" s="40">
        <f t="shared" si="71"/>
        <v>21.256479736098022</v>
      </c>
      <c r="CW53" s="40">
        <f t="shared" si="71"/>
        <v>20.619926625646361</v>
      </c>
    </row>
    <row r="54" spans="1:101" s="5" customFormat="1" ht="13">
      <c r="A54" s="26" t="s">
        <v>129</v>
      </c>
      <c r="B54" s="5">
        <v>416</v>
      </c>
      <c r="C54" s="5">
        <v>441</v>
      </c>
      <c r="D54" s="5">
        <v>459</v>
      </c>
      <c r="E54" s="5">
        <v>447</v>
      </c>
      <c r="F54" s="5">
        <v>447</v>
      </c>
      <c r="G54" s="5">
        <v>435</v>
      </c>
      <c r="H54" s="5">
        <v>446</v>
      </c>
      <c r="I54" s="5">
        <v>379</v>
      </c>
      <c r="J54" s="5">
        <v>378</v>
      </c>
      <c r="K54" s="5">
        <v>369</v>
      </c>
      <c r="L54" s="5">
        <v>354</v>
      </c>
      <c r="M54" s="5">
        <v>318</v>
      </c>
      <c r="N54" s="5">
        <v>317</v>
      </c>
      <c r="O54" s="5">
        <v>315</v>
      </c>
      <c r="P54" s="47">
        <v>324</v>
      </c>
      <c r="Q54" s="47">
        <v>300</v>
      </c>
      <c r="R54" s="47">
        <v>293</v>
      </c>
      <c r="S54" s="47">
        <v>339</v>
      </c>
      <c r="T54" s="5">
        <v>316</v>
      </c>
      <c r="U54" s="5">
        <v>326</v>
      </c>
      <c r="V54" s="5">
        <v>356</v>
      </c>
      <c r="W54" s="5">
        <v>367</v>
      </c>
      <c r="X54" s="5">
        <v>388</v>
      </c>
      <c r="Y54" s="5">
        <v>383</v>
      </c>
      <c r="Z54" s="5">
        <v>366</v>
      </c>
      <c r="AA54" s="5">
        <v>403</v>
      </c>
      <c r="AB54" s="5">
        <v>400</v>
      </c>
      <c r="AC54" s="5">
        <v>399</v>
      </c>
      <c r="AD54" s="5">
        <v>399</v>
      </c>
      <c r="AE54" s="5">
        <v>341</v>
      </c>
      <c r="AF54" s="5">
        <v>347</v>
      </c>
      <c r="AG54" s="5">
        <v>329</v>
      </c>
      <c r="AH54" s="5">
        <v>338</v>
      </c>
      <c r="AI54" s="5">
        <v>332</v>
      </c>
      <c r="AJ54" s="5">
        <v>362</v>
      </c>
      <c r="AK54" s="5">
        <v>318</v>
      </c>
      <c r="AL54" s="5">
        <v>359</v>
      </c>
      <c r="AM54" s="5">
        <v>424</v>
      </c>
      <c r="AN54" s="5">
        <v>400</v>
      </c>
      <c r="AO54" s="5">
        <v>343</v>
      </c>
      <c r="AP54" s="5">
        <v>353</v>
      </c>
      <c r="AQ54" s="5">
        <v>354</v>
      </c>
      <c r="AR54" s="5">
        <v>393</v>
      </c>
      <c r="AS54" s="5">
        <v>410</v>
      </c>
      <c r="AT54" s="5">
        <v>419</v>
      </c>
      <c r="AU54" s="5">
        <v>410</v>
      </c>
      <c r="AV54" s="1">
        <v>462</v>
      </c>
      <c r="AW54" s="1">
        <v>409</v>
      </c>
      <c r="AX54" s="1">
        <v>450</v>
      </c>
      <c r="AY54" s="1">
        <v>460</v>
      </c>
      <c r="AZ54" s="88">
        <v>95</v>
      </c>
      <c r="BA54" s="5">
        <v>78</v>
      </c>
      <c r="BB54" s="5">
        <v>119</v>
      </c>
      <c r="BC54" s="5">
        <v>112</v>
      </c>
      <c r="BD54" s="5">
        <v>130</v>
      </c>
      <c r="BE54" s="5">
        <v>149</v>
      </c>
      <c r="BF54" s="5">
        <v>133</v>
      </c>
      <c r="BG54" s="5">
        <v>148</v>
      </c>
      <c r="BH54" s="5">
        <v>152</v>
      </c>
      <c r="BI54" s="5">
        <v>134</v>
      </c>
      <c r="BJ54" s="5">
        <v>145</v>
      </c>
      <c r="BK54" s="5">
        <v>165</v>
      </c>
      <c r="BL54" s="5">
        <v>165</v>
      </c>
      <c r="BM54" s="5">
        <v>155</v>
      </c>
      <c r="BN54" s="5">
        <v>191</v>
      </c>
      <c r="BO54" s="5">
        <v>172</v>
      </c>
      <c r="BP54" s="5">
        <v>169</v>
      </c>
      <c r="BQ54" s="5">
        <v>194</v>
      </c>
      <c r="BR54" s="5">
        <v>180</v>
      </c>
      <c r="BS54" s="5">
        <v>227</v>
      </c>
      <c r="BT54" s="5">
        <v>216</v>
      </c>
      <c r="BU54" s="5">
        <v>243</v>
      </c>
      <c r="BV54" s="5">
        <v>216</v>
      </c>
      <c r="BW54" s="5">
        <v>247</v>
      </c>
      <c r="BX54" s="5">
        <v>280</v>
      </c>
      <c r="BY54" s="5">
        <v>304</v>
      </c>
      <c r="BZ54" s="5">
        <v>276</v>
      </c>
      <c r="CA54" s="5">
        <v>268</v>
      </c>
      <c r="CB54" s="5">
        <v>287</v>
      </c>
      <c r="CC54" s="5">
        <v>247</v>
      </c>
      <c r="CD54" s="5">
        <v>320</v>
      </c>
      <c r="CE54" s="5">
        <v>278</v>
      </c>
      <c r="CF54" s="5">
        <v>255</v>
      </c>
      <c r="CG54" s="5">
        <v>316</v>
      </c>
      <c r="CH54" s="5">
        <v>318</v>
      </c>
      <c r="CI54" s="5">
        <v>357</v>
      </c>
      <c r="CJ54" s="5">
        <v>376</v>
      </c>
      <c r="CK54" s="5">
        <v>404</v>
      </c>
      <c r="CL54" s="5">
        <v>366</v>
      </c>
      <c r="CM54" s="5">
        <v>324</v>
      </c>
      <c r="CN54" s="5">
        <v>317</v>
      </c>
      <c r="CO54" s="5">
        <v>304</v>
      </c>
      <c r="CP54" s="5">
        <v>377</v>
      </c>
      <c r="CQ54" s="5">
        <v>366</v>
      </c>
      <c r="CR54" s="5">
        <v>371</v>
      </c>
      <c r="CS54" s="5">
        <v>420</v>
      </c>
      <c r="CT54" s="1">
        <v>363</v>
      </c>
      <c r="CU54" s="1">
        <v>390</v>
      </c>
      <c r="CV54" s="1">
        <v>409</v>
      </c>
      <c r="CW54" s="1">
        <v>404</v>
      </c>
    </row>
    <row r="55" spans="1:101" s="5" customFormat="1" ht="13">
      <c r="A55" s="26" t="s">
        <v>138</v>
      </c>
      <c r="B55" s="5">
        <v>20</v>
      </c>
      <c r="C55" s="5">
        <v>23</v>
      </c>
      <c r="D55" s="5">
        <v>26</v>
      </c>
      <c r="E55" s="5">
        <v>38</v>
      </c>
      <c r="F55" s="5">
        <v>28</v>
      </c>
      <c r="G55" s="5">
        <v>24</v>
      </c>
      <c r="H55" s="50">
        <v>30</v>
      </c>
      <c r="I55" s="5">
        <v>34</v>
      </c>
      <c r="J55" s="5">
        <v>38</v>
      </c>
      <c r="K55" s="5">
        <v>15</v>
      </c>
      <c r="L55" s="5">
        <v>10</v>
      </c>
      <c r="M55" s="5">
        <v>22</v>
      </c>
      <c r="N55" s="5">
        <v>24</v>
      </c>
      <c r="O55" s="5">
        <v>15</v>
      </c>
      <c r="P55" s="47">
        <v>19</v>
      </c>
      <c r="Q55" s="47">
        <v>18</v>
      </c>
      <c r="R55" s="47">
        <v>22</v>
      </c>
      <c r="S55" s="47">
        <v>16</v>
      </c>
      <c r="T55" s="5">
        <v>18</v>
      </c>
      <c r="U55" s="5">
        <v>21</v>
      </c>
      <c r="V55" s="5">
        <v>26</v>
      </c>
      <c r="W55" s="5">
        <v>21</v>
      </c>
      <c r="X55" s="5">
        <v>33</v>
      </c>
      <c r="Y55" s="5">
        <v>22</v>
      </c>
      <c r="Z55" s="5">
        <v>35</v>
      </c>
      <c r="AA55" s="5">
        <v>27</v>
      </c>
      <c r="AB55" s="5">
        <v>36</v>
      </c>
      <c r="AC55" s="5">
        <v>55</v>
      </c>
      <c r="AD55" s="5">
        <v>22</v>
      </c>
      <c r="AE55" s="5">
        <v>20</v>
      </c>
      <c r="AF55" s="5">
        <v>33</v>
      </c>
      <c r="AG55" s="5">
        <v>23</v>
      </c>
      <c r="AH55" s="5">
        <v>23</v>
      </c>
      <c r="AI55" s="5">
        <v>32</v>
      </c>
      <c r="AJ55" s="5">
        <v>26</v>
      </c>
      <c r="AK55" s="5">
        <v>21</v>
      </c>
      <c r="AL55" s="5">
        <v>19</v>
      </c>
      <c r="AM55" s="5">
        <v>21</v>
      </c>
      <c r="AN55" s="5">
        <v>24</v>
      </c>
      <c r="AO55" s="5">
        <v>25</v>
      </c>
      <c r="AP55" s="5">
        <v>30</v>
      </c>
      <c r="AQ55" s="5">
        <v>32</v>
      </c>
      <c r="AR55" s="5">
        <v>36</v>
      </c>
      <c r="AS55" s="5">
        <v>26</v>
      </c>
      <c r="AT55" s="5">
        <v>39</v>
      </c>
      <c r="AU55" s="5">
        <v>36</v>
      </c>
      <c r="AV55" s="1">
        <v>54</v>
      </c>
      <c r="AW55" s="1">
        <v>49</v>
      </c>
      <c r="AX55" s="1">
        <v>46</v>
      </c>
      <c r="AY55" s="1">
        <v>63</v>
      </c>
      <c r="AZ55" s="88">
        <v>4</v>
      </c>
      <c r="BA55" s="5">
        <v>2</v>
      </c>
      <c r="BB55" s="5">
        <v>2</v>
      </c>
      <c r="BC55" s="5">
        <v>4</v>
      </c>
      <c r="BD55" s="5">
        <v>1</v>
      </c>
      <c r="BE55" s="5">
        <v>2</v>
      </c>
      <c r="BF55" s="5">
        <v>11</v>
      </c>
      <c r="BG55" s="5">
        <v>4</v>
      </c>
      <c r="BH55" s="5">
        <v>3</v>
      </c>
      <c r="BI55" s="5">
        <v>7</v>
      </c>
      <c r="BJ55" s="5">
        <v>11</v>
      </c>
      <c r="BK55" s="5">
        <v>3</v>
      </c>
      <c r="BL55" s="5">
        <v>8</v>
      </c>
      <c r="BM55" s="5">
        <v>7</v>
      </c>
      <c r="BN55" s="5">
        <v>6</v>
      </c>
      <c r="BO55" s="5">
        <v>5</v>
      </c>
      <c r="BP55" s="5">
        <v>7</v>
      </c>
      <c r="BQ55" s="5">
        <v>9</v>
      </c>
      <c r="BR55" s="5">
        <v>7</v>
      </c>
      <c r="BS55" s="5">
        <v>15</v>
      </c>
      <c r="BT55" s="5">
        <v>8</v>
      </c>
      <c r="BU55" s="5">
        <v>12</v>
      </c>
      <c r="BV55" s="5">
        <v>18</v>
      </c>
      <c r="BW55" s="5">
        <v>18</v>
      </c>
      <c r="BX55" s="5">
        <v>18</v>
      </c>
      <c r="BY55" s="5">
        <v>15</v>
      </c>
      <c r="BZ55" s="5">
        <v>11</v>
      </c>
      <c r="CA55" s="5">
        <v>20</v>
      </c>
      <c r="CB55" s="5">
        <v>27</v>
      </c>
      <c r="CC55" s="5">
        <v>18</v>
      </c>
      <c r="CD55" s="5">
        <v>16</v>
      </c>
      <c r="CE55" s="5">
        <v>18</v>
      </c>
      <c r="CF55" s="5">
        <v>16</v>
      </c>
      <c r="CG55" s="5">
        <v>24</v>
      </c>
      <c r="CH55" s="5">
        <v>17</v>
      </c>
      <c r="CI55" s="5">
        <v>19</v>
      </c>
      <c r="CJ55" s="5">
        <v>20</v>
      </c>
      <c r="CK55" s="5">
        <v>38</v>
      </c>
      <c r="CL55" s="5">
        <v>26</v>
      </c>
      <c r="CM55" s="5">
        <v>36</v>
      </c>
      <c r="CN55" s="5">
        <v>22</v>
      </c>
      <c r="CO55" s="5">
        <v>28</v>
      </c>
      <c r="CP55" s="5">
        <v>25</v>
      </c>
      <c r="CQ55" s="5">
        <v>33</v>
      </c>
      <c r="CR55" s="5">
        <v>47</v>
      </c>
      <c r="CS55" s="5">
        <v>49</v>
      </c>
      <c r="CT55" s="1">
        <v>67</v>
      </c>
      <c r="CU55" s="1">
        <v>77</v>
      </c>
      <c r="CV55" s="1">
        <v>60</v>
      </c>
      <c r="CW55" s="1">
        <v>108</v>
      </c>
    </row>
    <row r="56" spans="1:101" s="5" customFormat="1" ht="13">
      <c r="A56" s="26" t="s">
        <v>137</v>
      </c>
      <c r="B56" s="5">
        <v>1423</v>
      </c>
      <c r="C56" s="5">
        <v>1508</v>
      </c>
      <c r="D56" s="5">
        <v>1511</v>
      </c>
      <c r="E56" s="5">
        <v>1782</v>
      </c>
      <c r="F56" s="5">
        <v>1575</v>
      </c>
      <c r="G56" s="5">
        <v>1569</v>
      </c>
      <c r="H56" s="50">
        <v>1538</v>
      </c>
      <c r="I56" s="5">
        <v>1460</v>
      </c>
      <c r="J56" s="5">
        <v>1376</v>
      </c>
      <c r="K56" s="5">
        <v>1330</v>
      </c>
      <c r="L56" s="5">
        <v>1274</v>
      </c>
      <c r="M56" s="5">
        <v>1367</v>
      </c>
      <c r="N56" s="5">
        <v>1210</v>
      </c>
      <c r="O56" s="5">
        <v>1205</v>
      </c>
      <c r="P56" s="47">
        <v>1216</v>
      </c>
      <c r="Q56" s="47">
        <v>1153</v>
      </c>
      <c r="R56" s="47">
        <v>1200</v>
      </c>
      <c r="S56" s="47">
        <v>1233</v>
      </c>
      <c r="T56" s="5">
        <v>1241</v>
      </c>
      <c r="U56" s="5">
        <v>1279</v>
      </c>
      <c r="V56" s="5">
        <v>1321</v>
      </c>
      <c r="W56" s="5">
        <v>1386</v>
      </c>
      <c r="X56" s="5">
        <v>1395</v>
      </c>
      <c r="Y56" s="5">
        <v>1448</v>
      </c>
      <c r="Z56" s="5">
        <v>1378</v>
      </c>
      <c r="AA56" s="5">
        <v>1384</v>
      </c>
      <c r="AB56" s="5">
        <v>1418</v>
      </c>
      <c r="AC56" s="5">
        <v>1412</v>
      </c>
      <c r="AD56" s="5">
        <v>1543</v>
      </c>
      <c r="AE56" s="5">
        <v>1309</v>
      </c>
      <c r="AF56" s="5">
        <v>1309</v>
      </c>
      <c r="AG56" s="5">
        <v>1338</v>
      </c>
      <c r="AH56" s="5">
        <v>1315</v>
      </c>
      <c r="AI56" s="5">
        <v>1234</v>
      </c>
      <c r="AJ56" s="5">
        <v>1324</v>
      </c>
      <c r="AK56" s="5">
        <v>1391</v>
      </c>
      <c r="AL56" s="5">
        <v>1542</v>
      </c>
      <c r="AM56" s="5">
        <v>1738</v>
      </c>
      <c r="AN56" s="5">
        <v>1564</v>
      </c>
      <c r="AO56" s="5">
        <v>1559</v>
      </c>
      <c r="AP56" s="5">
        <v>1388</v>
      </c>
      <c r="AQ56" s="5">
        <v>1527</v>
      </c>
      <c r="AR56" s="5">
        <v>1519</v>
      </c>
      <c r="AS56" s="5">
        <v>1629</v>
      </c>
      <c r="AT56" s="5">
        <v>1640</v>
      </c>
      <c r="AU56" s="5">
        <v>1637</v>
      </c>
      <c r="AV56" s="1">
        <v>1755</v>
      </c>
      <c r="AW56" s="1">
        <v>1683</v>
      </c>
      <c r="AX56" s="1">
        <v>1721</v>
      </c>
      <c r="AY56" s="1">
        <v>1768</v>
      </c>
      <c r="AZ56" s="88">
        <v>253</v>
      </c>
      <c r="BA56" s="5">
        <v>283</v>
      </c>
      <c r="BB56" s="5">
        <v>307</v>
      </c>
      <c r="BC56" s="5">
        <v>408</v>
      </c>
      <c r="BD56" s="5">
        <v>447</v>
      </c>
      <c r="BE56" s="5">
        <v>449</v>
      </c>
      <c r="BF56" s="5">
        <v>480</v>
      </c>
      <c r="BG56" s="5">
        <v>520</v>
      </c>
      <c r="BH56" s="5">
        <v>576</v>
      </c>
      <c r="BI56" s="5">
        <v>535</v>
      </c>
      <c r="BJ56" s="5">
        <v>565</v>
      </c>
      <c r="BK56" s="5">
        <v>638</v>
      </c>
      <c r="BL56" s="5">
        <v>612</v>
      </c>
      <c r="BM56" s="5">
        <v>617</v>
      </c>
      <c r="BN56" s="5">
        <v>624</v>
      </c>
      <c r="BO56" s="5">
        <v>624</v>
      </c>
      <c r="BP56" s="5">
        <v>712</v>
      </c>
      <c r="BQ56" s="5">
        <v>675</v>
      </c>
      <c r="BR56" s="5">
        <v>696</v>
      </c>
      <c r="BS56" s="5">
        <v>707</v>
      </c>
      <c r="BT56" s="5">
        <v>801</v>
      </c>
      <c r="BU56" s="5">
        <v>786</v>
      </c>
      <c r="BV56" s="5">
        <v>861</v>
      </c>
      <c r="BW56" s="5">
        <v>828</v>
      </c>
      <c r="BX56" s="5">
        <v>850</v>
      </c>
      <c r="BY56" s="5">
        <v>899</v>
      </c>
      <c r="BZ56" s="5">
        <v>958</v>
      </c>
      <c r="CA56" s="5">
        <v>860</v>
      </c>
      <c r="CB56" s="5">
        <v>1011</v>
      </c>
      <c r="CC56" s="5">
        <v>972</v>
      </c>
      <c r="CD56" s="5">
        <v>974</v>
      </c>
      <c r="CE56" s="5">
        <v>896</v>
      </c>
      <c r="CF56" s="5">
        <v>972</v>
      </c>
      <c r="CG56" s="5">
        <v>1086</v>
      </c>
      <c r="CH56" s="5">
        <v>1160</v>
      </c>
      <c r="CI56" s="5">
        <v>1285</v>
      </c>
      <c r="CJ56" s="5">
        <v>1459</v>
      </c>
      <c r="CK56" s="5">
        <v>1587</v>
      </c>
      <c r="CL56" s="5">
        <v>1510</v>
      </c>
      <c r="CM56" s="5">
        <v>1479</v>
      </c>
      <c r="CN56" s="5">
        <v>1240</v>
      </c>
      <c r="CO56" s="5">
        <v>1241</v>
      </c>
      <c r="CP56" s="5">
        <v>1343</v>
      </c>
      <c r="CQ56" s="5">
        <v>1322</v>
      </c>
      <c r="CR56" s="5">
        <v>1440</v>
      </c>
      <c r="CS56" s="5">
        <v>1383</v>
      </c>
      <c r="CT56" s="1">
        <v>1489</v>
      </c>
      <c r="CU56" s="1">
        <v>1500</v>
      </c>
      <c r="CV56" s="1">
        <v>1584</v>
      </c>
      <c r="CW56" s="1">
        <v>1585</v>
      </c>
    </row>
    <row r="57" spans="1:101" s="5" customFormat="1" ht="13">
      <c r="A57" s="26" t="s">
        <v>145</v>
      </c>
      <c r="B57" s="5">
        <v>42</v>
      </c>
      <c r="C57" s="5">
        <v>49</v>
      </c>
      <c r="D57" s="5">
        <v>54</v>
      </c>
      <c r="E57" s="5">
        <v>58</v>
      </c>
      <c r="F57" s="5">
        <v>45</v>
      </c>
      <c r="G57" s="5">
        <v>58</v>
      </c>
      <c r="H57" s="5">
        <v>59</v>
      </c>
      <c r="I57" s="5">
        <v>45</v>
      </c>
      <c r="J57" s="5">
        <v>43</v>
      </c>
      <c r="K57" s="5">
        <v>49</v>
      </c>
      <c r="L57" s="5">
        <v>42</v>
      </c>
      <c r="M57" s="5">
        <v>53</v>
      </c>
      <c r="N57" s="5">
        <v>47</v>
      </c>
      <c r="O57" s="5">
        <v>49</v>
      </c>
      <c r="P57" s="47">
        <v>45</v>
      </c>
      <c r="Q57" s="47">
        <v>35</v>
      </c>
      <c r="R57" s="47">
        <v>38</v>
      </c>
      <c r="S57" s="47">
        <v>52</v>
      </c>
      <c r="T57" s="5">
        <v>42</v>
      </c>
      <c r="U57" s="5">
        <v>57</v>
      </c>
      <c r="V57" s="5">
        <v>40</v>
      </c>
      <c r="W57" s="5">
        <v>57</v>
      </c>
      <c r="X57" s="5">
        <v>47</v>
      </c>
      <c r="Y57" s="5">
        <v>90</v>
      </c>
      <c r="Z57" s="5">
        <v>85</v>
      </c>
      <c r="AA57" s="5">
        <v>62</v>
      </c>
      <c r="AB57" s="5">
        <v>71</v>
      </c>
      <c r="AC57" s="5">
        <v>86</v>
      </c>
      <c r="AD57" s="5">
        <v>81</v>
      </c>
      <c r="AE57" s="5">
        <v>81</v>
      </c>
      <c r="AF57" s="5">
        <v>52</v>
      </c>
      <c r="AG57" s="5">
        <v>70</v>
      </c>
      <c r="AH57" s="5">
        <v>68</v>
      </c>
      <c r="AI57" s="5">
        <v>81</v>
      </c>
      <c r="AJ57" s="5">
        <v>66</v>
      </c>
      <c r="AK57" s="5">
        <v>87</v>
      </c>
      <c r="AL57" s="5">
        <v>80</v>
      </c>
      <c r="AM57" s="5">
        <v>106</v>
      </c>
      <c r="AN57" s="5">
        <v>84</v>
      </c>
      <c r="AO57" s="5">
        <v>78</v>
      </c>
      <c r="AP57" s="5">
        <v>86</v>
      </c>
      <c r="AQ57" s="5">
        <v>86</v>
      </c>
      <c r="AR57" s="5">
        <v>82</v>
      </c>
      <c r="AS57" s="5">
        <v>79</v>
      </c>
      <c r="AT57" s="5">
        <v>95</v>
      </c>
      <c r="AU57" s="5">
        <v>93</v>
      </c>
      <c r="AV57" s="1">
        <v>100</v>
      </c>
      <c r="AW57" s="1">
        <v>86</v>
      </c>
      <c r="AX57" s="1">
        <v>95</v>
      </c>
      <c r="AY57" s="1">
        <v>118</v>
      </c>
      <c r="AZ57" s="88">
        <v>7</v>
      </c>
      <c r="BA57" s="5">
        <v>5</v>
      </c>
      <c r="BB57" s="5">
        <v>9</v>
      </c>
      <c r="BC57" s="5">
        <v>5</v>
      </c>
      <c r="BD57" s="5">
        <v>6</v>
      </c>
      <c r="BE57" s="5">
        <v>4</v>
      </c>
      <c r="BF57" s="5">
        <v>8</v>
      </c>
      <c r="BG57" s="5">
        <v>10</v>
      </c>
      <c r="BH57" s="5">
        <v>9</v>
      </c>
      <c r="BI57" s="5">
        <v>14</v>
      </c>
      <c r="BJ57" s="5">
        <v>16</v>
      </c>
      <c r="BK57" s="5">
        <v>15</v>
      </c>
      <c r="BL57" s="5">
        <v>18</v>
      </c>
      <c r="BM57" s="5">
        <v>18</v>
      </c>
      <c r="BN57" s="5">
        <v>13</v>
      </c>
      <c r="BO57" s="5">
        <v>14</v>
      </c>
      <c r="BP57" s="5">
        <v>19</v>
      </c>
      <c r="BQ57" s="5">
        <v>26</v>
      </c>
      <c r="BR57" s="5">
        <v>27</v>
      </c>
      <c r="BS57" s="5">
        <v>30</v>
      </c>
      <c r="BT57" s="5">
        <v>43</v>
      </c>
      <c r="BU57" s="5">
        <v>32</v>
      </c>
      <c r="BV57" s="5">
        <v>32</v>
      </c>
      <c r="BW57" s="5">
        <v>28</v>
      </c>
      <c r="BX57" s="5">
        <v>51</v>
      </c>
      <c r="BY57" s="5">
        <v>50</v>
      </c>
      <c r="BZ57" s="5">
        <v>39</v>
      </c>
      <c r="CA57" s="5">
        <v>52</v>
      </c>
      <c r="CB57" s="5">
        <v>66</v>
      </c>
      <c r="CC57" s="5">
        <v>59</v>
      </c>
      <c r="CD57" s="5">
        <v>64</v>
      </c>
      <c r="CE57" s="5">
        <v>56</v>
      </c>
      <c r="CF57" s="5">
        <v>55</v>
      </c>
      <c r="CG57" s="5">
        <v>61</v>
      </c>
      <c r="CH57" s="5">
        <v>61</v>
      </c>
      <c r="CI57" s="5">
        <v>80</v>
      </c>
      <c r="CJ57" s="5">
        <v>95</v>
      </c>
      <c r="CK57" s="5">
        <v>92</v>
      </c>
      <c r="CL57" s="5">
        <v>80</v>
      </c>
      <c r="CM57" s="5">
        <v>90</v>
      </c>
      <c r="CN57" s="5">
        <v>70</v>
      </c>
      <c r="CO57" s="5">
        <v>62</v>
      </c>
      <c r="CP57" s="5">
        <v>74</v>
      </c>
      <c r="CQ57" s="5">
        <v>89</v>
      </c>
      <c r="CR57" s="5">
        <v>98</v>
      </c>
      <c r="CS57" s="5">
        <v>95</v>
      </c>
      <c r="CT57" s="1">
        <v>82</v>
      </c>
      <c r="CU57" s="1">
        <v>103</v>
      </c>
      <c r="CV57" s="1">
        <v>91</v>
      </c>
      <c r="CW57" s="1">
        <v>100</v>
      </c>
    </row>
    <row r="58" spans="1:101" s="5" customFormat="1" ht="13">
      <c r="A58" s="26" t="s">
        <v>146</v>
      </c>
      <c r="B58" s="5">
        <v>519</v>
      </c>
      <c r="C58" s="5">
        <v>494</v>
      </c>
      <c r="D58" s="5">
        <v>552</v>
      </c>
      <c r="E58" s="5">
        <v>525</v>
      </c>
      <c r="F58" s="5">
        <v>482</v>
      </c>
      <c r="G58" s="5">
        <v>583</v>
      </c>
      <c r="H58" s="5">
        <v>547</v>
      </c>
      <c r="I58" s="5">
        <v>579</v>
      </c>
      <c r="J58" s="5">
        <v>531</v>
      </c>
      <c r="K58" s="5">
        <v>529</v>
      </c>
      <c r="L58" s="5">
        <v>459</v>
      </c>
      <c r="M58" s="5">
        <v>557</v>
      </c>
      <c r="N58" s="5">
        <v>575</v>
      </c>
      <c r="O58" s="5">
        <v>560</v>
      </c>
      <c r="P58" s="47">
        <v>465</v>
      </c>
      <c r="Q58" s="47">
        <v>466</v>
      </c>
      <c r="R58" s="47">
        <v>493</v>
      </c>
      <c r="S58" s="47">
        <v>435</v>
      </c>
      <c r="T58" s="5">
        <v>535</v>
      </c>
      <c r="U58" s="5">
        <v>483</v>
      </c>
      <c r="V58" s="5">
        <v>553</v>
      </c>
      <c r="W58" s="5">
        <v>529</v>
      </c>
      <c r="X58" s="5">
        <v>659</v>
      </c>
      <c r="Y58" s="5">
        <v>581</v>
      </c>
      <c r="Z58" s="5">
        <v>682</v>
      </c>
      <c r="AA58" s="5">
        <v>656</v>
      </c>
      <c r="AB58" s="5">
        <v>647</v>
      </c>
      <c r="AC58" s="5">
        <v>626</v>
      </c>
      <c r="AD58" s="5">
        <v>567</v>
      </c>
      <c r="AE58" s="5">
        <v>594</v>
      </c>
      <c r="AF58" s="5">
        <v>585</v>
      </c>
      <c r="AG58" s="5">
        <v>585</v>
      </c>
      <c r="AH58" s="5">
        <v>552</v>
      </c>
      <c r="AI58" s="5">
        <v>583</v>
      </c>
      <c r="AJ58" s="5">
        <v>658</v>
      </c>
      <c r="AK58" s="5">
        <v>634</v>
      </c>
      <c r="AL58" s="5">
        <v>658</v>
      </c>
      <c r="AM58" s="5">
        <v>673</v>
      </c>
      <c r="AN58" s="5">
        <v>680</v>
      </c>
      <c r="AO58" s="5">
        <v>732</v>
      </c>
      <c r="AP58" s="5">
        <v>626</v>
      </c>
      <c r="AQ58" s="5">
        <v>692</v>
      </c>
      <c r="AR58" s="5">
        <v>679</v>
      </c>
      <c r="AS58" s="5">
        <v>601</v>
      </c>
      <c r="AT58" s="5">
        <v>708</v>
      </c>
      <c r="AU58" s="5">
        <v>789</v>
      </c>
      <c r="AV58" s="1">
        <v>726</v>
      </c>
      <c r="AW58" s="1">
        <v>739</v>
      </c>
      <c r="AX58" s="1">
        <v>738</v>
      </c>
      <c r="AY58" s="1">
        <v>823</v>
      </c>
      <c r="AZ58" s="88">
        <v>46</v>
      </c>
      <c r="BA58" s="5">
        <v>57</v>
      </c>
      <c r="BB58" s="5">
        <v>69</v>
      </c>
      <c r="BC58" s="5">
        <v>84</v>
      </c>
      <c r="BD58" s="5">
        <v>115</v>
      </c>
      <c r="BE58" s="5">
        <v>135</v>
      </c>
      <c r="BF58" s="5">
        <v>144</v>
      </c>
      <c r="BG58" s="5">
        <v>181</v>
      </c>
      <c r="BH58" s="5">
        <v>182</v>
      </c>
      <c r="BI58" s="5">
        <v>190</v>
      </c>
      <c r="BJ58" s="5">
        <v>186</v>
      </c>
      <c r="BK58" s="5">
        <v>224</v>
      </c>
      <c r="BL58" s="5">
        <v>215</v>
      </c>
      <c r="BM58" s="5">
        <v>252</v>
      </c>
      <c r="BN58" s="5">
        <v>244</v>
      </c>
      <c r="BO58" s="5">
        <v>224</v>
      </c>
      <c r="BP58" s="5">
        <v>242</v>
      </c>
      <c r="BQ58" s="5">
        <v>235</v>
      </c>
      <c r="BR58" s="5">
        <v>289</v>
      </c>
      <c r="BS58" s="5">
        <v>264</v>
      </c>
      <c r="BT58" s="5">
        <v>302</v>
      </c>
      <c r="BU58" s="5">
        <v>287</v>
      </c>
      <c r="BV58" s="5">
        <v>335</v>
      </c>
      <c r="BW58" s="5">
        <v>384</v>
      </c>
      <c r="BX58" s="5">
        <v>350</v>
      </c>
      <c r="BY58" s="5">
        <v>397</v>
      </c>
      <c r="BZ58" s="5">
        <v>404</v>
      </c>
      <c r="CA58" s="5">
        <v>412</v>
      </c>
      <c r="CB58" s="5">
        <v>392</v>
      </c>
      <c r="CC58" s="5">
        <v>358</v>
      </c>
      <c r="CD58" s="5">
        <v>416</v>
      </c>
      <c r="CE58" s="5">
        <v>470</v>
      </c>
      <c r="CF58" s="5">
        <v>428</v>
      </c>
      <c r="CG58" s="5">
        <v>469</v>
      </c>
      <c r="CH58" s="5">
        <v>524</v>
      </c>
      <c r="CI58" s="5">
        <v>508</v>
      </c>
      <c r="CJ58" s="5">
        <v>545</v>
      </c>
      <c r="CK58" s="5">
        <v>572</v>
      </c>
      <c r="CL58" s="5">
        <v>642</v>
      </c>
      <c r="CM58" s="5">
        <v>710</v>
      </c>
      <c r="CN58" s="5">
        <v>676</v>
      </c>
      <c r="CO58" s="5">
        <v>713</v>
      </c>
      <c r="CP58" s="5">
        <v>719</v>
      </c>
      <c r="CQ58" s="5">
        <v>520</v>
      </c>
      <c r="CR58" s="5">
        <v>684</v>
      </c>
      <c r="CS58" s="5">
        <v>668</v>
      </c>
      <c r="CT58" s="1">
        <v>743</v>
      </c>
      <c r="CU58" s="1">
        <v>703</v>
      </c>
      <c r="CV58" s="1">
        <v>875</v>
      </c>
      <c r="CW58" s="1">
        <v>814</v>
      </c>
    </row>
    <row r="59" spans="1:101" s="5" customFormat="1" ht="13">
      <c r="A59" s="26" t="s">
        <v>149</v>
      </c>
      <c r="B59" s="5">
        <v>2692</v>
      </c>
      <c r="C59" s="5">
        <v>2706</v>
      </c>
      <c r="D59" s="5">
        <v>2795</v>
      </c>
      <c r="E59" s="5">
        <v>3074</v>
      </c>
      <c r="F59" s="5">
        <v>2764</v>
      </c>
      <c r="G59" s="5">
        <v>2507</v>
      </c>
      <c r="H59" s="5">
        <v>2548</v>
      </c>
      <c r="I59" s="5">
        <v>2461</v>
      </c>
      <c r="J59" s="5">
        <v>2309</v>
      </c>
      <c r="K59" s="5">
        <v>2256</v>
      </c>
      <c r="L59" s="5">
        <v>2167</v>
      </c>
      <c r="M59" s="5">
        <v>2081</v>
      </c>
      <c r="N59" s="5">
        <v>2093</v>
      </c>
      <c r="O59" s="5">
        <v>1977</v>
      </c>
      <c r="P59" s="47">
        <v>2040</v>
      </c>
      <c r="Q59" s="47">
        <v>2039</v>
      </c>
      <c r="R59" s="47">
        <v>2029</v>
      </c>
      <c r="S59" s="47">
        <v>2091</v>
      </c>
      <c r="T59" s="5">
        <v>2113</v>
      </c>
      <c r="U59" s="5">
        <v>2110</v>
      </c>
      <c r="V59" s="5">
        <v>2283</v>
      </c>
      <c r="W59" s="5">
        <v>2382</v>
      </c>
      <c r="X59" s="5">
        <v>2247</v>
      </c>
      <c r="Y59" s="5">
        <v>2380</v>
      </c>
      <c r="Z59" s="5">
        <v>2386</v>
      </c>
      <c r="AA59" s="5">
        <v>2296</v>
      </c>
      <c r="AB59" s="5">
        <v>2174</v>
      </c>
      <c r="AC59" s="5">
        <v>2203</v>
      </c>
      <c r="AD59" s="5">
        <v>2137</v>
      </c>
      <c r="AE59" s="5">
        <v>2055</v>
      </c>
      <c r="AF59" s="5">
        <v>2039</v>
      </c>
      <c r="AG59" s="5">
        <v>1923</v>
      </c>
      <c r="AH59" s="5">
        <v>1685</v>
      </c>
      <c r="AI59" s="5">
        <v>1959</v>
      </c>
      <c r="AJ59" s="5">
        <v>2053</v>
      </c>
      <c r="AK59" s="5">
        <v>2198</v>
      </c>
      <c r="AL59" s="5">
        <v>2223</v>
      </c>
      <c r="AM59" s="5">
        <v>2296</v>
      </c>
      <c r="AN59" s="5">
        <v>2361</v>
      </c>
      <c r="AO59" s="5">
        <v>2252</v>
      </c>
      <c r="AP59" s="5">
        <v>2119</v>
      </c>
      <c r="AQ59" s="5">
        <v>2254</v>
      </c>
      <c r="AR59" s="5">
        <v>2191</v>
      </c>
      <c r="AS59" s="5">
        <v>2342</v>
      </c>
      <c r="AT59" s="5">
        <v>2425</v>
      </c>
      <c r="AU59" s="5">
        <v>2329</v>
      </c>
      <c r="AV59" s="1">
        <v>2452</v>
      </c>
      <c r="AW59" s="1">
        <v>2319</v>
      </c>
      <c r="AX59" s="1">
        <v>2428</v>
      </c>
      <c r="AY59" s="1">
        <v>2410</v>
      </c>
      <c r="AZ59" s="88">
        <v>600</v>
      </c>
      <c r="BA59" s="5">
        <v>664</v>
      </c>
      <c r="BB59" s="5">
        <v>812</v>
      </c>
      <c r="BC59" s="5">
        <v>879</v>
      </c>
      <c r="BD59" s="5">
        <v>917</v>
      </c>
      <c r="BE59" s="5">
        <v>944</v>
      </c>
      <c r="BF59" s="5">
        <v>1078</v>
      </c>
      <c r="BG59" s="5">
        <v>1017</v>
      </c>
      <c r="BH59" s="5">
        <v>1091</v>
      </c>
      <c r="BI59" s="5">
        <v>1142</v>
      </c>
      <c r="BJ59" s="5">
        <v>1208</v>
      </c>
      <c r="BK59" s="5">
        <v>1174</v>
      </c>
      <c r="BL59" s="5">
        <v>1166</v>
      </c>
      <c r="BM59" s="5">
        <v>1204</v>
      </c>
      <c r="BN59" s="5">
        <v>1270</v>
      </c>
      <c r="BO59" s="5">
        <v>1321</v>
      </c>
      <c r="BP59" s="5">
        <v>1382</v>
      </c>
      <c r="BQ59" s="5">
        <v>1276</v>
      </c>
      <c r="BR59" s="5">
        <v>1323</v>
      </c>
      <c r="BS59" s="5">
        <v>1469</v>
      </c>
      <c r="BT59" s="5">
        <v>1559</v>
      </c>
      <c r="BU59" s="5">
        <v>1637</v>
      </c>
      <c r="BV59" s="5">
        <v>1569</v>
      </c>
      <c r="BW59" s="5">
        <v>1665</v>
      </c>
      <c r="BX59" s="5">
        <v>1639</v>
      </c>
      <c r="BY59" s="5">
        <v>1678</v>
      </c>
      <c r="BZ59" s="5">
        <v>1591</v>
      </c>
      <c r="CA59" s="5">
        <v>1695</v>
      </c>
      <c r="CB59" s="5">
        <v>1876</v>
      </c>
      <c r="CC59" s="5">
        <v>1702</v>
      </c>
      <c r="CD59" s="5">
        <v>1744</v>
      </c>
      <c r="CE59" s="5">
        <v>1710</v>
      </c>
      <c r="CF59" s="5">
        <v>1779</v>
      </c>
      <c r="CG59" s="5">
        <v>1782</v>
      </c>
      <c r="CH59" s="5">
        <v>1937</v>
      </c>
      <c r="CI59" s="5">
        <v>2152</v>
      </c>
      <c r="CJ59" s="5">
        <v>2299</v>
      </c>
      <c r="CK59" s="5">
        <v>2365</v>
      </c>
      <c r="CL59" s="5">
        <v>2303</v>
      </c>
      <c r="CM59" s="5">
        <v>2378</v>
      </c>
      <c r="CN59" s="5">
        <v>2200</v>
      </c>
      <c r="CO59" s="5">
        <v>2195</v>
      </c>
      <c r="CP59" s="5">
        <v>2310</v>
      </c>
      <c r="CQ59" s="5">
        <v>2405</v>
      </c>
      <c r="CR59" s="5">
        <v>2428</v>
      </c>
      <c r="CS59" s="5">
        <v>2343</v>
      </c>
      <c r="CT59" s="1">
        <v>2434</v>
      </c>
      <c r="CU59" s="1">
        <v>2345</v>
      </c>
      <c r="CV59" s="1">
        <v>2501</v>
      </c>
      <c r="CW59" s="1">
        <v>2388</v>
      </c>
    </row>
    <row r="60" spans="1:101" s="5" customFormat="1" ht="13">
      <c r="A60" s="26" t="s">
        <v>152</v>
      </c>
      <c r="B60" s="5">
        <v>1279</v>
      </c>
      <c r="C60" s="5">
        <v>1384</v>
      </c>
      <c r="D60" s="5">
        <v>1503</v>
      </c>
      <c r="E60" s="5">
        <v>1482</v>
      </c>
      <c r="F60" s="5">
        <v>1328</v>
      </c>
      <c r="G60" s="5">
        <v>1349</v>
      </c>
      <c r="H60" s="5">
        <v>1348</v>
      </c>
      <c r="I60" s="5">
        <v>1207</v>
      </c>
      <c r="J60" s="5">
        <v>1167</v>
      </c>
      <c r="K60" s="5">
        <v>1168</v>
      </c>
      <c r="L60" s="5">
        <v>1171</v>
      </c>
      <c r="M60" s="5">
        <v>1133</v>
      </c>
      <c r="N60" s="5">
        <v>1165</v>
      </c>
      <c r="O60" s="5">
        <v>1119</v>
      </c>
      <c r="P60" s="47">
        <v>1222</v>
      </c>
      <c r="Q60" s="47">
        <v>1244</v>
      </c>
      <c r="R60" s="47">
        <v>1194</v>
      </c>
      <c r="S60" s="47">
        <v>1165</v>
      </c>
      <c r="T60" s="5">
        <v>1210</v>
      </c>
      <c r="U60" s="5">
        <v>1277</v>
      </c>
      <c r="V60" s="5">
        <v>1323</v>
      </c>
      <c r="W60" s="5">
        <v>1355</v>
      </c>
      <c r="X60" s="5">
        <v>1368</v>
      </c>
      <c r="Y60" s="5">
        <v>1385</v>
      </c>
      <c r="Z60" s="5">
        <v>1399</v>
      </c>
      <c r="AA60" s="5">
        <v>1425</v>
      </c>
      <c r="AB60" s="5">
        <v>1362</v>
      </c>
      <c r="AC60" s="5">
        <v>1464</v>
      </c>
      <c r="AD60" s="5">
        <v>1390</v>
      </c>
      <c r="AE60" s="5">
        <v>1240</v>
      </c>
      <c r="AF60" s="5">
        <v>1214</v>
      </c>
      <c r="AG60" s="5">
        <v>1243</v>
      </c>
      <c r="AH60" s="5">
        <v>1256</v>
      </c>
      <c r="AI60" s="5">
        <v>1297</v>
      </c>
      <c r="AJ60" s="5">
        <v>1366</v>
      </c>
      <c r="AK60" s="5">
        <v>1484</v>
      </c>
      <c r="AL60" s="5">
        <v>1565</v>
      </c>
      <c r="AM60" s="5">
        <v>1551</v>
      </c>
      <c r="AN60" s="5">
        <v>1532</v>
      </c>
      <c r="AO60" s="5">
        <v>1600</v>
      </c>
      <c r="AP60" s="5">
        <v>1391</v>
      </c>
      <c r="AQ60" s="5">
        <v>1424</v>
      </c>
      <c r="AR60" s="5">
        <v>1536</v>
      </c>
      <c r="AS60" s="5">
        <v>1572</v>
      </c>
      <c r="AT60" s="5">
        <v>1605</v>
      </c>
      <c r="AU60" s="5">
        <v>1618</v>
      </c>
      <c r="AV60" s="1">
        <v>1643</v>
      </c>
      <c r="AW60" s="1">
        <v>1655</v>
      </c>
      <c r="AX60" s="1">
        <v>1687</v>
      </c>
      <c r="AY60" s="1">
        <v>1651</v>
      </c>
      <c r="AZ60" s="88">
        <v>213</v>
      </c>
      <c r="BA60" s="5">
        <v>252</v>
      </c>
      <c r="BB60" s="5">
        <v>314</v>
      </c>
      <c r="BC60" s="5">
        <v>343</v>
      </c>
      <c r="BD60" s="5">
        <v>335</v>
      </c>
      <c r="BE60" s="5">
        <v>422</v>
      </c>
      <c r="BF60" s="5">
        <v>461</v>
      </c>
      <c r="BG60" s="5">
        <v>421</v>
      </c>
      <c r="BH60" s="5">
        <v>478</v>
      </c>
      <c r="BI60" s="5">
        <v>490</v>
      </c>
      <c r="BJ60" s="5">
        <v>498</v>
      </c>
      <c r="BK60" s="5">
        <v>531</v>
      </c>
      <c r="BL60" s="5">
        <v>647</v>
      </c>
      <c r="BM60" s="5">
        <v>642</v>
      </c>
      <c r="BN60" s="5">
        <v>636</v>
      </c>
      <c r="BO60" s="5">
        <v>606</v>
      </c>
      <c r="BP60" s="5">
        <v>638</v>
      </c>
      <c r="BQ60" s="5">
        <v>637</v>
      </c>
      <c r="BR60" s="5">
        <v>672</v>
      </c>
      <c r="BS60" s="5">
        <v>750</v>
      </c>
      <c r="BT60" s="5">
        <v>713</v>
      </c>
      <c r="BU60" s="5">
        <v>765</v>
      </c>
      <c r="BV60" s="5">
        <v>833</v>
      </c>
      <c r="BW60" s="5">
        <v>882</v>
      </c>
      <c r="BX60" s="5">
        <v>848</v>
      </c>
      <c r="BY60" s="5">
        <v>977</v>
      </c>
      <c r="BZ60" s="5">
        <v>893</v>
      </c>
      <c r="CA60" s="5">
        <v>973</v>
      </c>
      <c r="CB60" s="5">
        <v>1023</v>
      </c>
      <c r="CC60" s="5">
        <v>972</v>
      </c>
      <c r="CD60" s="5">
        <v>1020</v>
      </c>
      <c r="CE60" s="5">
        <v>1001</v>
      </c>
      <c r="CF60" s="5">
        <v>1051</v>
      </c>
      <c r="CG60" s="5">
        <v>1134</v>
      </c>
      <c r="CH60" s="5">
        <v>1433</v>
      </c>
      <c r="CI60" s="5">
        <v>1475</v>
      </c>
      <c r="CJ60" s="5">
        <v>1777</v>
      </c>
      <c r="CK60" s="5">
        <v>1964</v>
      </c>
      <c r="CL60" s="5">
        <v>1874</v>
      </c>
      <c r="CM60" s="5">
        <v>1604</v>
      </c>
      <c r="CN60" s="5">
        <v>1257</v>
      </c>
      <c r="CO60" s="5">
        <v>1439</v>
      </c>
      <c r="CP60" s="5">
        <v>1433</v>
      </c>
      <c r="CQ60" s="5">
        <v>1403</v>
      </c>
      <c r="CR60" s="5">
        <v>1516</v>
      </c>
      <c r="CS60" s="5">
        <v>1461</v>
      </c>
      <c r="CT60" s="1">
        <v>1482</v>
      </c>
      <c r="CU60" s="1">
        <v>1538</v>
      </c>
      <c r="CV60" s="1">
        <v>1506</v>
      </c>
      <c r="CW60" s="1">
        <v>1526</v>
      </c>
    </row>
    <row r="61" spans="1:101" s="5" customFormat="1" ht="13">
      <c r="A61" s="26" t="s">
        <v>153</v>
      </c>
      <c r="B61" s="5">
        <v>168</v>
      </c>
      <c r="C61" s="5">
        <v>177</v>
      </c>
      <c r="D61" s="5">
        <v>181</v>
      </c>
      <c r="E61" s="5">
        <v>159</v>
      </c>
      <c r="F61" s="5">
        <v>183</v>
      </c>
      <c r="G61" s="5">
        <v>162</v>
      </c>
      <c r="H61" s="5">
        <v>136</v>
      </c>
      <c r="I61" s="5">
        <v>161</v>
      </c>
      <c r="J61" s="5">
        <v>143</v>
      </c>
      <c r="K61" s="5">
        <v>130</v>
      </c>
      <c r="L61" s="5">
        <v>143</v>
      </c>
      <c r="M61" s="5">
        <v>134</v>
      </c>
      <c r="N61" s="5">
        <v>142</v>
      </c>
      <c r="O61" s="5">
        <v>120</v>
      </c>
      <c r="P61" s="47">
        <v>119</v>
      </c>
      <c r="Q61" s="47">
        <v>133</v>
      </c>
      <c r="R61" s="47">
        <v>131</v>
      </c>
      <c r="S61" s="47">
        <v>144</v>
      </c>
      <c r="T61" s="5">
        <v>160</v>
      </c>
      <c r="U61" s="5">
        <v>145</v>
      </c>
      <c r="V61" s="5">
        <v>112</v>
      </c>
      <c r="W61" s="5">
        <v>168</v>
      </c>
      <c r="X61" s="5">
        <v>154</v>
      </c>
      <c r="Y61" s="5">
        <v>166</v>
      </c>
      <c r="Z61" s="5">
        <v>164</v>
      </c>
      <c r="AA61" s="5">
        <v>180</v>
      </c>
      <c r="AB61" s="5">
        <v>175</v>
      </c>
      <c r="AC61" s="5">
        <v>141</v>
      </c>
      <c r="AD61" s="5">
        <v>139</v>
      </c>
      <c r="AE61" s="5">
        <v>148</v>
      </c>
      <c r="AF61" s="5">
        <v>150</v>
      </c>
      <c r="AG61" s="5">
        <v>135</v>
      </c>
      <c r="AH61" s="5">
        <v>148</v>
      </c>
      <c r="AI61" s="5">
        <v>146</v>
      </c>
      <c r="AJ61" s="5">
        <v>126</v>
      </c>
      <c r="AK61" s="5">
        <v>123</v>
      </c>
      <c r="AL61" s="5">
        <v>164</v>
      </c>
      <c r="AM61" s="5">
        <v>144</v>
      </c>
      <c r="AN61" s="5">
        <v>155</v>
      </c>
      <c r="AO61" s="5">
        <v>173</v>
      </c>
      <c r="AP61" s="5">
        <v>157</v>
      </c>
      <c r="AQ61" s="5">
        <v>175</v>
      </c>
      <c r="AR61" s="5">
        <v>186</v>
      </c>
      <c r="AS61" s="5">
        <v>178</v>
      </c>
      <c r="AT61" s="5">
        <v>153</v>
      </c>
      <c r="AU61" s="5">
        <v>159</v>
      </c>
      <c r="AV61" s="1">
        <v>177</v>
      </c>
      <c r="AW61" s="1">
        <v>174</v>
      </c>
      <c r="AX61" s="1">
        <v>199</v>
      </c>
      <c r="AY61" s="1">
        <v>203</v>
      </c>
      <c r="AZ61" s="88">
        <v>19</v>
      </c>
      <c r="BA61" s="5">
        <v>30</v>
      </c>
      <c r="BB61" s="5">
        <v>27</v>
      </c>
      <c r="BC61" s="5">
        <v>32</v>
      </c>
      <c r="BD61" s="5">
        <v>37</v>
      </c>
      <c r="BE61" s="5">
        <v>42</v>
      </c>
      <c r="BF61" s="5">
        <v>58</v>
      </c>
      <c r="BG61" s="5">
        <v>43</v>
      </c>
      <c r="BH61" s="5">
        <v>45</v>
      </c>
      <c r="BI61" s="5">
        <v>59</v>
      </c>
      <c r="BJ61" s="5">
        <v>60</v>
      </c>
      <c r="BK61" s="5">
        <v>41</v>
      </c>
      <c r="BL61" s="5">
        <v>60</v>
      </c>
      <c r="BM61" s="5">
        <v>58</v>
      </c>
      <c r="BN61" s="5">
        <v>60</v>
      </c>
      <c r="BO61" s="5">
        <v>63</v>
      </c>
      <c r="BP61" s="5">
        <v>52</v>
      </c>
      <c r="BQ61" s="5">
        <v>68</v>
      </c>
      <c r="BR61" s="5">
        <v>77</v>
      </c>
      <c r="BS61" s="5">
        <v>77</v>
      </c>
      <c r="BT61" s="5">
        <v>78</v>
      </c>
      <c r="BU61" s="5">
        <v>102</v>
      </c>
      <c r="BV61" s="5">
        <v>87</v>
      </c>
      <c r="BW61" s="5">
        <v>103</v>
      </c>
      <c r="BX61" s="5">
        <v>91</v>
      </c>
      <c r="BY61" s="5">
        <v>115</v>
      </c>
      <c r="BZ61" s="5">
        <v>126</v>
      </c>
      <c r="CA61" s="5">
        <v>99</v>
      </c>
      <c r="CB61" s="5">
        <v>109</v>
      </c>
      <c r="CC61" s="5">
        <v>108</v>
      </c>
      <c r="CD61" s="5">
        <v>108</v>
      </c>
      <c r="CE61" s="5">
        <v>115</v>
      </c>
      <c r="CF61" s="5">
        <v>94</v>
      </c>
      <c r="CG61" s="5">
        <v>100</v>
      </c>
      <c r="CH61" s="5">
        <v>123</v>
      </c>
      <c r="CI61" s="5">
        <v>120</v>
      </c>
      <c r="CJ61" s="5">
        <v>137</v>
      </c>
      <c r="CK61" s="5">
        <v>135</v>
      </c>
      <c r="CL61" s="5">
        <v>167</v>
      </c>
      <c r="CM61" s="5">
        <v>163</v>
      </c>
      <c r="CN61" s="5">
        <v>144</v>
      </c>
      <c r="CO61" s="5">
        <v>135</v>
      </c>
      <c r="CP61" s="5">
        <v>161</v>
      </c>
      <c r="CQ61" s="5">
        <v>154</v>
      </c>
      <c r="CR61" s="5">
        <v>206</v>
      </c>
      <c r="CS61" s="5">
        <v>177</v>
      </c>
      <c r="CT61" s="1">
        <v>182</v>
      </c>
      <c r="CU61" s="1">
        <v>172</v>
      </c>
      <c r="CV61" s="1">
        <v>155</v>
      </c>
      <c r="CW61" s="1">
        <v>159</v>
      </c>
    </row>
    <row r="62" spans="1:101" s="5" customFormat="1" ht="13">
      <c r="A62" s="25" t="s">
        <v>156</v>
      </c>
      <c r="B62" s="5">
        <v>28</v>
      </c>
      <c r="C62" s="5">
        <v>27</v>
      </c>
      <c r="D62" s="5">
        <v>24</v>
      </c>
      <c r="E62" s="5">
        <v>25</v>
      </c>
      <c r="F62" s="5">
        <v>31</v>
      </c>
      <c r="G62" s="5">
        <v>34</v>
      </c>
      <c r="H62" s="5">
        <v>32</v>
      </c>
      <c r="I62" s="5">
        <v>22</v>
      </c>
      <c r="J62" s="5">
        <v>24</v>
      </c>
      <c r="K62" s="5">
        <v>21</v>
      </c>
      <c r="L62" s="5">
        <v>21</v>
      </c>
      <c r="M62" s="5">
        <v>28</v>
      </c>
      <c r="N62" s="5">
        <v>19</v>
      </c>
      <c r="O62" s="5">
        <v>17</v>
      </c>
      <c r="P62" s="47">
        <v>17</v>
      </c>
      <c r="Q62" s="47">
        <v>15</v>
      </c>
      <c r="R62" s="47">
        <v>27</v>
      </c>
      <c r="S62" s="47">
        <v>20</v>
      </c>
      <c r="T62" s="5">
        <v>27</v>
      </c>
      <c r="U62" s="5">
        <v>23</v>
      </c>
      <c r="V62" s="5">
        <v>29</v>
      </c>
      <c r="W62" s="5">
        <v>28</v>
      </c>
      <c r="X62" s="5">
        <v>24</v>
      </c>
      <c r="Y62" s="5">
        <v>28</v>
      </c>
      <c r="Z62" s="5">
        <v>37</v>
      </c>
      <c r="AA62" s="5">
        <v>31</v>
      </c>
      <c r="AB62" s="5">
        <v>33</v>
      </c>
      <c r="AC62" s="5">
        <v>26</v>
      </c>
      <c r="AD62" s="5">
        <v>27</v>
      </c>
      <c r="AE62" s="5">
        <v>26</v>
      </c>
      <c r="AF62" s="5">
        <v>33</v>
      </c>
      <c r="AG62" s="5">
        <v>27</v>
      </c>
      <c r="AH62" s="5">
        <v>24</v>
      </c>
      <c r="AI62" s="5">
        <v>21</v>
      </c>
      <c r="AJ62" s="5">
        <v>25</v>
      </c>
      <c r="AK62" s="5">
        <v>25</v>
      </c>
      <c r="AL62" s="5">
        <v>32</v>
      </c>
      <c r="AM62" s="5">
        <v>36</v>
      </c>
      <c r="AN62" s="5">
        <v>33</v>
      </c>
      <c r="AO62" s="5">
        <v>25</v>
      </c>
      <c r="AP62" s="5">
        <v>31</v>
      </c>
      <c r="AQ62" s="5">
        <v>33</v>
      </c>
      <c r="AR62" s="5">
        <v>34</v>
      </c>
      <c r="AS62" s="5">
        <v>36</v>
      </c>
      <c r="AT62" s="5">
        <v>36</v>
      </c>
      <c r="AU62" s="5">
        <v>44</v>
      </c>
      <c r="AV62" s="1">
        <v>46</v>
      </c>
      <c r="AW62" s="1">
        <v>37</v>
      </c>
      <c r="AX62" s="1">
        <v>34</v>
      </c>
      <c r="AY62" s="1">
        <v>52</v>
      </c>
      <c r="AZ62" s="88">
        <v>5</v>
      </c>
      <c r="BA62" s="5">
        <v>1</v>
      </c>
      <c r="BB62" s="5">
        <v>11</v>
      </c>
      <c r="BC62" s="5">
        <v>4</v>
      </c>
      <c r="BD62" s="5">
        <v>7</v>
      </c>
      <c r="BE62" s="5">
        <v>7</v>
      </c>
      <c r="BF62" s="5">
        <v>7</v>
      </c>
      <c r="BG62" s="5">
        <v>11</v>
      </c>
      <c r="BH62" s="5">
        <v>8</v>
      </c>
      <c r="BI62" s="5">
        <v>6</v>
      </c>
      <c r="BJ62" s="5">
        <v>11</v>
      </c>
      <c r="BK62" s="5">
        <v>7</v>
      </c>
      <c r="BL62" s="5">
        <v>7</v>
      </c>
      <c r="BM62" s="5">
        <v>11</v>
      </c>
      <c r="BN62" s="5">
        <v>22</v>
      </c>
      <c r="BO62" s="5">
        <v>14</v>
      </c>
      <c r="BP62" s="5">
        <v>26</v>
      </c>
      <c r="BQ62" s="5">
        <v>21</v>
      </c>
      <c r="BR62" s="5">
        <v>18</v>
      </c>
      <c r="BS62" s="5">
        <v>26</v>
      </c>
      <c r="BT62" s="5">
        <v>30</v>
      </c>
      <c r="BU62" s="5">
        <v>20</v>
      </c>
      <c r="BV62" s="5">
        <v>23</v>
      </c>
      <c r="BW62" s="5">
        <v>25</v>
      </c>
      <c r="BX62" s="5">
        <v>25</v>
      </c>
      <c r="BY62" s="5">
        <v>23</v>
      </c>
      <c r="BZ62" s="5">
        <v>28</v>
      </c>
      <c r="CA62" s="5">
        <v>26</v>
      </c>
      <c r="CB62" s="5">
        <v>35</v>
      </c>
      <c r="CC62" s="5">
        <v>26</v>
      </c>
      <c r="CD62" s="5">
        <v>32</v>
      </c>
      <c r="CE62" s="5">
        <v>35</v>
      </c>
      <c r="CF62" s="5">
        <v>33</v>
      </c>
      <c r="CG62" s="5">
        <v>23</v>
      </c>
      <c r="CH62" s="5">
        <v>30</v>
      </c>
      <c r="CI62" s="5">
        <v>37</v>
      </c>
      <c r="CJ62" s="5">
        <v>32</v>
      </c>
      <c r="CK62" s="5">
        <v>24</v>
      </c>
      <c r="CL62" s="5">
        <v>56</v>
      </c>
      <c r="CM62" s="5">
        <v>40</v>
      </c>
      <c r="CN62" s="5">
        <v>46</v>
      </c>
      <c r="CO62" s="5">
        <v>25</v>
      </c>
      <c r="CP62" s="48">
        <v>30</v>
      </c>
      <c r="CQ62" s="5">
        <v>51</v>
      </c>
      <c r="CR62" s="5">
        <v>42</v>
      </c>
      <c r="CS62" s="5">
        <v>42</v>
      </c>
      <c r="CT62" s="1">
        <v>40</v>
      </c>
      <c r="CU62" s="1">
        <v>39</v>
      </c>
      <c r="CV62" s="1">
        <v>36</v>
      </c>
      <c r="CW62" s="1">
        <v>54</v>
      </c>
    </row>
    <row r="63" spans="1:101" s="5" customFormat="1">
      <c r="A63" s="51" t="s">
        <v>130</v>
      </c>
      <c r="B63" s="44">
        <v>395</v>
      </c>
      <c r="C63" s="44">
        <v>457</v>
      </c>
      <c r="D63" s="44">
        <v>454</v>
      </c>
      <c r="E63" s="44">
        <v>447</v>
      </c>
      <c r="F63" s="44">
        <v>429</v>
      </c>
      <c r="G63" s="44">
        <v>419</v>
      </c>
      <c r="H63" s="44">
        <v>377</v>
      </c>
      <c r="I63" s="44">
        <v>365</v>
      </c>
      <c r="J63" s="44">
        <v>367</v>
      </c>
      <c r="K63" s="44">
        <v>342</v>
      </c>
      <c r="L63" s="44">
        <v>317</v>
      </c>
      <c r="M63" s="44">
        <v>322</v>
      </c>
      <c r="N63" s="44">
        <v>338</v>
      </c>
      <c r="O63" s="44">
        <v>355</v>
      </c>
      <c r="P63" s="44">
        <v>306</v>
      </c>
      <c r="Q63" s="44">
        <v>308</v>
      </c>
      <c r="R63" s="44">
        <v>308</v>
      </c>
      <c r="S63" s="44">
        <v>272</v>
      </c>
      <c r="T63" s="44">
        <v>317</v>
      </c>
      <c r="U63" s="44">
        <v>284</v>
      </c>
      <c r="V63" s="44">
        <v>311</v>
      </c>
      <c r="W63" s="44">
        <v>258</v>
      </c>
      <c r="X63" s="44">
        <v>275</v>
      </c>
      <c r="Y63" s="44">
        <v>305</v>
      </c>
      <c r="Z63" s="44">
        <v>253</v>
      </c>
      <c r="AA63" s="44">
        <v>271</v>
      </c>
      <c r="AB63" s="44">
        <v>299</v>
      </c>
      <c r="AC63" s="44">
        <v>288</v>
      </c>
      <c r="AD63" s="44">
        <v>281</v>
      </c>
      <c r="AE63" s="44">
        <v>275</v>
      </c>
      <c r="AF63" s="44">
        <v>304</v>
      </c>
      <c r="AG63" s="44">
        <v>263</v>
      </c>
      <c r="AH63" s="44">
        <v>255</v>
      </c>
      <c r="AI63" s="44">
        <v>242</v>
      </c>
      <c r="AJ63" s="44">
        <v>262</v>
      </c>
      <c r="AK63" s="44">
        <v>265</v>
      </c>
      <c r="AL63" s="44">
        <v>274</v>
      </c>
      <c r="AM63" s="44">
        <v>280</v>
      </c>
      <c r="AN63" s="44">
        <v>287</v>
      </c>
      <c r="AO63" s="44">
        <v>312</v>
      </c>
      <c r="AP63" s="44">
        <v>229</v>
      </c>
      <c r="AQ63" s="44">
        <v>258</v>
      </c>
      <c r="AR63" s="44">
        <v>284</v>
      </c>
      <c r="AS63" s="44">
        <v>291</v>
      </c>
      <c r="AT63" s="44">
        <v>298</v>
      </c>
      <c r="AU63" s="44">
        <v>291</v>
      </c>
      <c r="AV63" s="44">
        <v>308</v>
      </c>
      <c r="AW63" s="44">
        <v>327</v>
      </c>
      <c r="AX63" s="44">
        <v>326</v>
      </c>
      <c r="AY63" s="44">
        <v>306</v>
      </c>
      <c r="AZ63" s="64">
        <v>103</v>
      </c>
      <c r="BA63" s="44">
        <v>119</v>
      </c>
      <c r="BB63" s="44">
        <v>100</v>
      </c>
      <c r="BC63" s="44">
        <v>120</v>
      </c>
      <c r="BD63" s="44">
        <v>130</v>
      </c>
      <c r="BE63" s="44">
        <v>149</v>
      </c>
      <c r="BF63" s="44">
        <v>147</v>
      </c>
      <c r="BG63" s="44">
        <v>188</v>
      </c>
      <c r="BH63" s="44">
        <v>144</v>
      </c>
      <c r="BI63" s="44">
        <v>170</v>
      </c>
      <c r="BJ63" s="44">
        <v>170</v>
      </c>
      <c r="BK63" s="44">
        <v>213</v>
      </c>
      <c r="BL63" s="44">
        <v>218</v>
      </c>
      <c r="BM63" s="44">
        <v>216</v>
      </c>
      <c r="BN63" s="44">
        <v>225</v>
      </c>
      <c r="BO63" s="44">
        <v>209</v>
      </c>
      <c r="BP63" s="44">
        <v>248</v>
      </c>
      <c r="BQ63" s="44">
        <v>203</v>
      </c>
      <c r="BR63" s="44">
        <v>225</v>
      </c>
      <c r="BS63" s="44">
        <v>219</v>
      </c>
      <c r="BT63" s="44">
        <v>229</v>
      </c>
      <c r="BU63" s="44">
        <v>198</v>
      </c>
      <c r="BV63" s="44">
        <v>198</v>
      </c>
      <c r="BW63" s="44">
        <v>257</v>
      </c>
      <c r="BX63" s="44">
        <v>236</v>
      </c>
      <c r="BY63" s="44">
        <v>203</v>
      </c>
      <c r="BZ63" s="44">
        <v>227</v>
      </c>
      <c r="CA63" s="44">
        <v>249</v>
      </c>
      <c r="CB63" s="44">
        <v>281</v>
      </c>
      <c r="CC63" s="44">
        <v>247</v>
      </c>
      <c r="CD63" s="44">
        <v>299</v>
      </c>
      <c r="CE63" s="44">
        <v>264</v>
      </c>
      <c r="CF63" s="44">
        <v>286</v>
      </c>
      <c r="CG63" s="44">
        <v>337</v>
      </c>
      <c r="CH63" s="44">
        <v>314</v>
      </c>
      <c r="CI63" s="44">
        <v>348</v>
      </c>
      <c r="CJ63" s="44">
        <v>361</v>
      </c>
      <c r="CK63" s="44">
        <v>348</v>
      </c>
      <c r="CL63" s="44">
        <v>349</v>
      </c>
      <c r="CM63" s="44">
        <v>382</v>
      </c>
      <c r="CN63" s="44">
        <v>289</v>
      </c>
      <c r="CO63" s="44">
        <v>295</v>
      </c>
      <c r="CP63" s="98">
        <v>334</v>
      </c>
      <c r="CQ63" s="98">
        <v>344</v>
      </c>
      <c r="CR63" s="98">
        <v>349</v>
      </c>
      <c r="CS63" s="98">
        <v>351</v>
      </c>
      <c r="CT63" s="44">
        <v>360</v>
      </c>
      <c r="CU63" s="44">
        <v>385</v>
      </c>
      <c r="CV63" s="44">
        <v>361</v>
      </c>
      <c r="CW63" s="44">
        <v>364</v>
      </c>
    </row>
    <row r="64" spans="1:101">
      <c r="AO64" s="3" t="s">
        <v>73</v>
      </c>
      <c r="AP64" s="3"/>
      <c r="AQ64" s="3"/>
      <c r="AR64" s="3"/>
      <c r="AS64" s="3"/>
      <c r="AT64" s="3"/>
      <c r="AU64" s="3"/>
      <c r="AV64" s="3"/>
      <c r="AW64" s="3"/>
      <c r="AX64" s="3"/>
      <c r="AY64" s="3"/>
      <c r="CT64" s="3"/>
      <c r="CU64" s="3"/>
      <c r="CV64" s="3"/>
      <c r="CW64" s="3"/>
    </row>
    <row r="65" spans="2:101">
      <c r="B65" s="3" t="s">
        <v>73</v>
      </c>
      <c r="AJ65" s="1" t="s">
        <v>73</v>
      </c>
      <c r="AM65" s="1" t="s">
        <v>73</v>
      </c>
      <c r="AO65" s="1" t="s">
        <v>168</v>
      </c>
      <c r="AV65" s="3"/>
      <c r="AW65" s="3"/>
      <c r="AX65" s="3"/>
      <c r="AY65" s="3" t="s">
        <v>73</v>
      </c>
      <c r="CH65" s="1" t="s">
        <v>73</v>
      </c>
      <c r="CM65" s="3" t="s">
        <v>73</v>
      </c>
      <c r="CN65" s="3"/>
      <c r="CT65" s="3"/>
      <c r="CU65" s="3"/>
      <c r="CV65" s="3"/>
      <c r="CW65" s="3" t="s">
        <v>73</v>
      </c>
    </row>
    <row r="66" spans="2:101">
      <c r="B66" s="3" t="s">
        <v>184</v>
      </c>
      <c r="AJ66" s="1" t="s">
        <v>168</v>
      </c>
      <c r="AM66" s="1" t="s">
        <v>168</v>
      </c>
      <c r="AO66" s="1" t="s">
        <v>169</v>
      </c>
      <c r="AV66" s="3"/>
      <c r="AW66" s="3"/>
      <c r="AX66" s="3"/>
      <c r="AY66" s="1" t="s">
        <v>168</v>
      </c>
      <c r="CH66" s="1" t="s">
        <v>168</v>
      </c>
      <c r="CM66" s="1" t="s">
        <v>168</v>
      </c>
      <c r="CT66" s="3"/>
      <c r="CU66" s="3"/>
      <c r="CV66" s="3"/>
      <c r="CW66" s="1" t="s">
        <v>168</v>
      </c>
    </row>
    <row r="67" spans="2:101">
      <c r="B67" s="3" t="s">
        <v>185</v>
      </c>
      <c r="AJ67" s="1" t="s">
        <v>169</v>
      </c>
      <c r="AM67" s="1" t="s">
        <v>169</v>
      </c>
      <c r="AO67" s="1" t="s">
        <v>170</v>
      </c>
      <c r="AV67" s="3"/>
      <c r="AW67" s="3"/>
      <c r="AX67" s="3"/>
      <c r="AY67" s="1" t="s">
        <v>169</v>
      </c>
      <c r="CH67" s="1" t="s">
        <v>169</v>
      </c>
      <c r="CM67" s="1" t="s">
        <v>169</v>
      </c>
      <c r="CT67" s="3"/>
      <c r="CU67" s="3"/>
      <c r="CV67" s="3"/>
      <c r="CW67" s="1" t="s">
        <v>169</v>
      </c>
    </row>
    <row r="68" spans="2:101">
      <c r="B68" s="3" t="s">
        <v>186</v>
      </c>
      <c r="AJ68" s="1" t="s">
        <v>170</v>
      </c>
      <c r="AM68" s="1" t="s">
        <v>37</v>
      </c>
      <c r="AO68" s="1" t="s">
        <v>39</v>
      </c>
      <c r="AV68" s="3"/>
      <c r="AW68" s="3"/>
      <c r="AX68" s="3"/>
      <c r="AY68" s="1" t="s">
        <v>170</v>
      </c>
      <c r="CH68" s="1" t="s">
        <v>170</v>
      </c>
      <c r="CM68" s="1" t="s">
        <v>170</v>
      </c>
      <c r="CT68" s="3"/>
      <c r="CU68" s="3"/>
      <c r="CV68" s="3"/>
      <c r="CW68" s="1" t="s">
        <v>170</v>
      </c>
    </row>
    <row r="69" spans="2:101">
      <c r="B69" s="3" t="s">
        <v>187</v>
      </c>
      <c r="AJ69" s="1" t="s">
        <v>39</v>
      </c>
      <c r="AM69" s="1" t="s">
        <v>39</v>
      </c>
      <c r="AO69" s="1" t="s">
        <v>171</v>
      </c>
      <c r="AV69" s="3"/>
      <c r="AW69" s="3"/>
      <c r="AX69" s="3"/>
      <c r="AY69" s="1" t="s">
        <v>39</v>
      </c>
      <c r="CH69" s="1" t="s">
        <v>39</v>
      </c>
      <c r="CM69" s="1" t="s">
        <v>39</v>
      </c>
      <c r="CT69" s="3"/>
      <c r="CU69" s="3"/>
      <c r="CV69" s="3"/>
      <c r="CW69" s="1" t="s">
        <v>39</v>
      </c>
    </row>
    <row r="70" spans="2:101">
      <c r="B70" s="3" t="s">
        <v>188</v>
      </c>
      <c r="H70" s="3"/>
      <c r="AJ70" s="1" t="s">
        <v>171</v>
      </c>
      <c r="AM70" s="1" t="s">
        <v>171</v>
      </c>
      <c r="AO70" s="1" t="s">
        <v>214</v>
      </c>
      <c r="AV70" s="3"/>
      <c r="AW70" s="3"/>
      <c r="AX70" s="3"/>
      <c r="AY70" s="1" t="s">
        <v>171</v>
      </c>
      <c r="CH70" s="1" t="s">
        <v>171</v>
      </c>
      <c r="CM70" s="1" t="s">
        <v>171</v>
      </c>
      <c r="CT70" s="3"/>
      <c r="CU70" s="3"/>
      <c r="CV70" s="3"/>
      <c r="CW70" s="1" t="s">
        <v>171</v>
      </c>
    </row>
    <row r="71" spans="2:101">
      <c r="B71" s="3" t="s">
        <v>189</v>
      </c>
      <c r="H71" s="3"/>
      <c r="AJ71" s="1" t="s">
        <v>172</v>
      </c>
      <c r="AM71" s="1" t="s">
        <v>172</v>
      </c>
      <c r="AO71" s="1" t="s">
        <v>215</v>
      </c>
      <c r="AV71" s="3"/>
      <c r="AW71" s="3"/>
      <c r="AX71" s="3"/>
      <c r="AY71" s="1" t="s">
        <v>214</v>
      </c>
      <c r="CH71" s="1" t="s">
        <v>172</v>
      </c>
      <c r="CM71" s="1" t="s">
        <v>214</v>
      </c>
      <c r="CT71" s="3"/>
      <c r="CU71" s="3"/>
      <c r="CV71" s="3"/>
      <c r="CW71" s="1" t="s">
        <v>214</v>
      </c>
    </row>
    <row r="72" spans="2:101">
      <c r="B72" s="3" t="s">
        <v>190</v>
      </c>
      <c r="H72" s="2"/>
      <c r="AJ72" s="1" t="s">
        <v>173</v>
      </c>
      <c r="AM72" s="1" t="s">
        <v>173</v>
      </c>
      <c r="AO72" s="1" t="s">
        <v>216</v>
      </c>
      <c r="AV72" s="3"/>
      <c r="AW72" s="3"/>
      <c r="AX72" s="3"/>
      <c r="AY72" s="1" t="s">
        <v>215</v>
      </c>
      <c r="CH72" s="1" t="s">
        <v>173</v>
      </c>
      <c r="CM72" s="1" t="s">
        <v>215</v>
      </c>
      <c r="CT72" s="3"/>
      <c r="CU72" s="3"/>
      <c r="CV72" s="3"/>
      <c r="CW72" s="1" t="s">
        <v>215</v>
      </c>
    </row>
    <row r="73" spans="2:101">
      <c r="B73" s="3" t="s">
        <v>191</v>
      </c>
      <c r="AJ73" s="1" t="s">
        <v>174</v>
      </c>
      <c r="AM73" s="1" t="s">
        <v>174</v>
      </c>
      <c r="AO73" s="1" t="s">
        <v>217</v>
      </c>
      <c r="AV73" s="3"/>
      <c r="AW73" s="3"/>
      <c r="AX73" s="3"/>
      <c r="AY73" s="1" t="s">
        <v>216</v>
      </c>
      <c r="CH73" s="1" t="s">
        <v>174</v>
      </c>
      <c r="CM73" s="1" t="s">
        <v>216</v>
      </c>
      <c r="CT73" s="3"/>
      <c r="CU73" s="3"/>
      <c r="CV73" s="3"/>
      <c r="CW73" s="1" t="s">
        <v>216</v>
      </c>
    </row>
    <row r="74" spans="2:101">
      <c r="AJ74" s="1" t="s">
        <v>175</v>
      </c>
      <c r="AM74" s="1" t="s">
        <v>175</v>
      </c>
      <c r="AO74" s="1" t="s">
        <v>176</v>
      </c>
      <c r="AV74" s="3"/>
      <c r="AW74" s="3"/>
      <c r="AX74" s="3"/>
      <c r="AY74" s="1" t="s">
        <v>237</v>
      </c>
      <c r="CH74" s="1" t="s">
        <v>175</v>
      </c>
      <c r="CM74" s="1" t="s">
        <v>217</v>
      </c>
      <c r="CT74" s="3"/>
      <c r="CU74" s="3"/>
      <c r="CV74" s="3"/>
      <c r="CW74" s="1" t="s">
        <v>237</v>
      </c>
    </row>
    <row r="75" spans="2:101">
      <c r="AJ75" s="1" t="s">
        <v>176</v>
      </c>
      <c r="AM75" s="1" t="s">
        <v>176</v>
      </c>
      <c r="AV75" s="3"/>
      <c r="AW75" s="3"/>
      <c r="AX75" s="3"/>
      <c r="AY75" s="1" t="s">
        <v>176</v>
      </c>
      <c r="CH75" s="1" t="s">
        <v>176</v>
      </c>
      <c r="CM75" s="1" t="s">
        <v>176</v>
      </c>
      <c r="CT75" s="3"/>
      <c r="CU75" s="3"/>
      <c r="CV75" s="3"/>
      <c r="CW75" s="1" t="s">
        <v>176</v>
      </c>
    </row>
    <row r="76" spans="2:101">
      <c r="AV76" s="3"/>
      <c r="AW76" s="3"/>
      <c r="AX76" s="3"/>
      <c r="AY76" s="3"/>
      <c r="CT76" s="3"/>
      <c r="CU76" s="3"/>
      <c r="CV76" s="3"/>
      <c r="CW76" s="3"/>
    </row>
    <row r="77" spans="2:101">
      <c r="AV77" s="3"/>
      <c r="AW77" s="3"/>
      <c r="AX77" s="3"/>
      <c r="AY77" s="3"/>
      <c r="CT77" s="3"/>
      <c r="CU77" s="3"/>
      <c r="CV77" s="3"/>
      <c r="CW77" s="3"/>
    </row>
    <row r="78" spans="2:101">
      <c r="AV78" s="3"/>
      <c r="AW78" s="3"/>
      <c r="AX78" s="3"/>
      <c r="AY78" s="3"/>
      <c r="CT78" s="3"/>
      <c r="CU78" s="3"/>
      <c r="CV78" s="3"/>
      <c r="CW78" s="3"/>
    </row>
    <row r="79" spans="2:101">
      <c r="AV79" s="3"/>
      <c r="AW79" s="3"/>
      <c r="AX79" s="3"/>
      <c r="AY79" s="3"/>
      <c r="CT79" s="3"/>
      <c r="CU79" s="3"/>
      <c r="CV79" s="3"/>
      <c r="CW79" s="3"/>
    </row>
    <row r="80" spans="2:101">
      <c r="AV80" s="3"/>
      <c r="AW80" s="3"/>
      <c r="AX80" s="3"/>
      <c r="AY80" s="3"/>
      <c r="CT80" s="3"/>
      <c r="CU80" s="3"/>
      <c r="CV80" s="3"/>
      <c r="CW80" s="3"/>
    </row>
    <row r="81" spans="48:101">
      <c r="AV81" s="3"/>
      <c r="AW81" s="3"/>
      <c r="AX81" s="3"/>
      <c r="AY81" s="3"/>
      <c r="CT81" s="3"/>
      <c r="CU81" s="3"/>
      <c r="CV81" s="3"/>
      <c r="CW81" s="3"/>
    </row>
    <row r="82" spans="48:101">
      <c r="AV82" s="3"/>
      <c r="AW82" s="3"/>
      <c r="AX82" s="3"/>
      <c r="AY82" s="3"/>
      <c r="CT82" s="3"/>
      <c r="CU82" s="3"/>
      <c r="CV82" s="3"/>
      <c r="CW82" s="3"/>
    </row>
    <row r="83" spans="48:101">
      <c r="AV83" s="3"/>
      <c r="AW83" s="3"/>
      <c r="AX83" s="3"/>
      <c r="AY83" s="3"/>
      <c r="CT83" s="3"/>
      <c r="CU83" s="3"/>
      <c r="CV83" s="3"/>
      <c r="CW83" s="3"/>
    </row>
    <row r="84" spans="48:101">
      <c r="AV84" s="3"/>
      <c r="AW84" s="3"/>
      <c r="AX84" s="3"/>
      <c r="AY84" s="3"/>
      <c r="CT84" s="3"/>
      <c r="CU84" s="3"/>
      <c r="CV84" s="3"/>
      <c r="CW84" s="3"/>
    </row>
  </sheetData>
  <phoneticPr fontId="8" type="noConversion"/>
  <hyperlinks>
    <hyperlink ref="AJ75" r:id="rId1" display="www.nces.ed.gov" xr:uid="{00000000-0004-0000-0300-000000000000}"/>
    <hyperlink ref="AO74" r:id="rId2" display="www.nces.ed.gov" xr:uid="{00000000-0004-0000-0300-000001000000}"/>
    <hyperlink ref="CM75" r:id="rId3" display="www.nces.ed.gov" xr:uid="{00000000-0004-0000-0300-000002000000}"/>
    <hyperlink ref="CH75" r:id="rId4" display="www.nces.ed.gov" xr:uid="{00000000-0004-0000-0300-000003000000}"/>
    <hyperlink ref="CW75" r:id="rId5" display="www.nces.ed.gov" xr:uid="{66D77608-BB0A-47A2-B90D-5AB7A5CEF569}"/>
    <hyperlink ref="AY75" r:id="rId6" display="www.nces.ed.gov" xr:uid="{CADEB77C-2BFE-4E7D-9D5B-CE3410920C79}"/>
  </hyperlinks>
  <pageMargins left="0.75" right="0.5" top="0.5" bottom="0.55000000000000004" header="0.5" footer="0.5"/>
  <pageSetup orientation="portrait" horizontalDpi="1200" verticalDpi="300" r:id="rId7"/>
  <headerFooter alignWithMargins="0">
    <oddFooter>&amp;LSREB Fact Book 1996/1997&amp;CDraft&amp;R&amp;D</oddFooter>
  </headerFooter>
  <drawing r:id="rId8"/>
  <legacyDrawing r:id="rId9"/>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62"/>
  </sheetPr>
  <dimension ref="A1:AH84"/>
  <sheetViews>
    <sheetView zoomScaleNormal="100" workbookViewId="0">
      <pane xSplit="1" ySplit="3" topLeftCell="R61" activePane="bottomRight" state="frozen"/>
      <selection activeCell="B15" sqref="B15"/>
      <selection pane="topRight" activeCell="B15" sqref="B15"/>
      <selection pane="bottomLeft" activeCell="B15" sqref="B15"/>
      <selection pane="bottomRight" activeCell="AH68" sqref="AH68"/>
    </sheetView>
  </sheetViews>
  <sheetFormatPr defaultColWidth="9.1796875" defaultRowHeight="12.5"/>
  <cols>
    <col min="1" max="1" width="19.453125" style="1" customWidth="1"/>
    <col min="2" max="48" width="8.81640625" style="1" customWidth="1"/>
    <col min="49" max="16384" width="9.1796875" style="1"/>
  </cols>
  <sheetData>
    <row r="1" spans="1:34" ht="13">
      <c r="A1" s="7" t="s">
        <v>105</v>
      </c>
    </row>
    <row r="2" spans="1:34" ht="13">
      <c r="B2" s="32" t="s">
        <v>240</v>
      </c>
      <c r="C2" s="6"/>
      <c r="D2" s="6"/>
      <c r="E2" s="113"/>
      <c r="F2" s="113"/>
      <c r="G2" s="113"/>
      <c r="H2" s="113"/>
      <c r="I2" s="113"/>
      <c r="J2" s="113"/>
      <c r="K2" s="113"/>
      <c r="L2" s="113"/>
      <c r="M2" s="113"/>
      <c r="N2" s="113"/>
      <c r="O2" s="113"/>
      <c r="P2" s="113"/>
      <c r="Q2" s="6"/>
      <c r="R2" s="6"/>
      <c r="S2" s="6"/>
      <c r="T2" s="6"/>
      <c r="U2" s="6"/>
      <c r="V2" s="6"/>
      <c r="W2" s="6"/>
      <c r="X2" s="6"/>
      <c r="Y2" s="6"/>
      <c r="Z2" s="6"/>
      <c r="AA2" s="6"/>
      <c r="AB2" s="6"/>
      <c r="AC2" s="6"/>
      <c r="AD2" s="6"/>
      <c r="AE2" s="6"/>
      <c r="AF2" s="6"/>
      <c r="AG2" s="6"/>
      <c r="AH2" s="6"/>
    </row>
    <row r="3" spans="1:34" s="7" customFormat="1" ht="13">
      <c r="B3" s="34" t="s">
        <v>6</v>
      </c>
      <c r="C3" s="34" t="s">
        <v>7</v>
      </c>
      <c r="D3" s="34" t="s">
        <v>8</v>
      </c>
      <c r="E3" s="34" t="s">
        <v>59</v>
      </c>
      <c r="F3" s="34" t="s">
        <v>61</v>
      </c>
      <c r="G3" s="34" t="s">
        <v>10</v>
      </c>
      <c r="H3" s="34" t="s">
        <v>11</v>
      </c>
      <c r="I3" s="34" t="s">
        <v>12</v>
      </c>
      <c r="J3" s="34" t="s">
        <v>13</v>
      </c>
      <c r="K3" s="34" t="s">
        <v>65</v>
      </c>
      <c r="L3" s="34" t="s">
        <v>14</v>
      </c>
      <c r="M3" s="34" t="s">
        <v>66</v>
      </c>
      <c r="N3" s="34" t="s">
        <v>48</v>
      </c>
      <c r="O3" s="34" t="s">
        <v>77</v>
      </c>
      <c r="P3" s="34" t="s">
        <v>123</v>
      </c>
      <c r="Q3" s="34" t="s">
        <v>160</v>
      </c>
      <c r="R3" s="34" t="s">
        <v>167</v>
      </c>
      <c r="S3" s="34" t="s">
        <v>178</v>
      </c>
      <c r="T3" s="34" t="s">
        <v>179</v>
      </c>
      <c r="U3" s="34" t="s">
        <v>181</v>
      </c>
      <c r="V3" s="34" t="s">
        <v>192</v>
      </c>
      <c r="W3" s="34" t="s">
        <v>205</v>
      </c>
      <c r="X3" s="34" t="s">
        <v>207</v>
      </c>
      <c r="Y3" s="34" t="s">
        <v>222</v>
      </c>
      <c r="Z3" s="34" t="s">
        <v>223</v>
      </c>
      <c r="AA3" s="7" t="s">
        <v>224</v>
      </c>
      <c r="AB3" s="7" t="s">
        <v>226</v>
      </c>
      <c r="AC3" s="130" t="s">
        <v>228</v>
      </c>
      <c r="AD3" s="7" t="s">
        <v>229</v>
      </c>
      <c r="AE3" s="129" t="s">
        <v>231</v>
      </c>
      <c r="AF3" s="129" t="s">
        <v>232</v>
      </c>
      <c r="AG3" s="110" t="s">
        <v>235</v>
      </c>
      <c r="AH3" s="110" t="s">
        <v>236</v>
      </c>
    </row>
    <row r="4" spans="1:34">
      <c r="A4" s="35" t="s">
        <v>208</v>
      </c>
      <c r="B4" s="36">
        <v>33244</v>
      </c>
      <c r="C4" s="36">
        <v>32756</v>
      </c>
      <c r="D4" s="36">
        <v>32982</v>
      </c>
      <c r="E4" s="36">
        <v>32775</v>
      </c>
      <c r="F4" s="36">
        <f>32151+174</f>
        <v>32325</v>
      </c>
      <c r="G4" s="36">
        <f>G5+G23+G38+G52+G63</f>
        <v>26249</v>
      </c>
      <c r="H4" s="36">
        <f>22575+12011</f>
        <v>34586</v>
      </c>
      <c r="I4" s="36">
        <f>23712+12978</f>
        <v>36690</v>
      </c>
      <c r="J4" s="36">
        <f t="shared" ref="J4:X4" si="0">J5+J23+J38+J52+J63</f>
        <v>28964</v>
      </c>
      <c r="K4" s="36">
        <f t="shared" si="0"/>
        <v>29725</v>
      </c>
      <c r="L4" s="36">
        <f t="shared" si="0"/>
        <v>30400</v>
      </c>
      <c r="M4" s="36">
        <f t="shared" si="0"/>
        <v>31835</v>
      </c>
      <c r="N4" s="36">
        <f t="shared" si="0"/>
        <v>31478</v>
      </c>
      <c r="O4" s="36">
        <f t="shared" si="0"/>
        <v>32700</v>
      </c>
      <c r="P4" s="36">
        <f t="shared" si="0"/>
        <v>33069</v>
      </c>
      <c r="Q4" s="36">
        <f t="shared" si="0"/>
        <v>32313</v>
      </c>
      <c r="R4" s="36">
        <f t="shared" si="0"/>
        <v>32122</v>
      </c>
      <c r="S4" s="36">
        <f t="shared" si="0"/>
        <v>33353</v>
      </c>
      <c r="T4" s="36">
        <f t="shared" si="0"/>
        <v>35628</v>
      </c>
      <c r="U4" s="36">
        <f t="shared" si="0"/>
        <v>36767</v>
      </c>
      <c r="V4" s="36">
        <f t="shared" si="0"/>
        <v>40162</v>
      </c>
      <c r="W4" s="36">
        <f t="shared" si="0"/>
        <v>40299</v>
      </c>
      <c r="X4" s="36">
        <f t="shared" si="0"/>
        <v>40786</v>
      </c>
      <c r="Y4" s="36">
        <f t="shared" ref="Y4:Z4" si="1">Y5+Y23+Y38+Y52+Y63</f>
        <v>37596</v>
      </c>
      <c r="Z4" s="36">
        <f t="shared" si="1"/>
        <v>38168</v>
      </c>
      <c r="AA4" s="36">
        <f t="shared" ref="AA4:AB4" si="2">AA5+AA23+AA38+AA52+AA63</f>
        <v>39607</v>
      </c>
      <c r="AB4" s="36">
        <f t="shared" si="2"/>
        <v>41094</v>
      </c>
      <c r="AC4" s="36">
        <f t="shared" ref="AC4:AH4" si="3">AC5+AC23+AC38+AC52+AC63</f>
        <v>42427</v>
      </c>
      <c r="AD4" s="36">
        <f t="shared" si="3"/>
        <v>43821</v>
      </c>
      <c r="AE4" s="36">
        <f t="shared" si="3"/>
        <v>43946</v>
      </c>
      <c r="AF4" s="36">
        <f t="shared" si="3"/>
        <v>44883</v>
      </c>
      <c r="AG4" s="36">
        <f t="shared" si="3"/>
        <v>45287</v>
      </c>
      <c r="AH4" s="36">
        <f t="shared" si="3"/>
        <v>46071</v>
      </c>
    </row>
    <row r="5" spans="1:34">
      <c r="A5" s="37" t="s">
        <v>50</v>
      </c>
      <c r="B5" s="38">
        <f t="shared" ref="B5:X5" si="4">SUM(B7:B22)</f>
        <v>7475</v>
      </c>
      <c r="C5" s="38">
        <f t="shared" si="4"/>
        <v>7606</v>
      </c>
      <c r="D5" s="38">
        <f t="shared" si="4"/>
        <v>7469</v>
      </c>
      <c r="E5" s="38">
        <f t="shared" si="4"/>
        <v>7954</v>
      </c>
      <c r="F5" s="38">
        <f t="shared" si="4"/>
        <v>8060</v>
      </c>
      <c r="G5" s="38">
        <f t="shared" si="4"/>
        <v>7111</v>
      </c>
      <c r="H5" s="38">
        <f t="shared" si="4"/>
        <v>9121</v>
      </c>
      <c r="I5" s="38">
        <f t="shared" si="4"/>
        <v>9908</v>
      </c>
      <c r="J5" s="38">
        <f t="shared" si="4"/>
        <v>8066</v>
      </c>
      <c r="K5" s="38">
        <f t="shared" si="4"/>
        <v>8684</v>
      </c>
      <c r="L5" s="38">
        <f t="shared" si="4"/>
        <v>8833</v>
      </c>
      <c r="M5" s="38">
        <f t="shared" si="4"/>
        <v>9237</v>
      </c>
      <c r="N5" s="38">
        <f t="shared" si="4"/>
        <v>9364</v>
      </c>
      <c r="O5" s="38">
        <f t="shared" si="4"/>
        <v>9675</v>
      </c>
      <c r="P5" s="38">
        <f t="shared" si="4"/>
        <v>9876</v>
      </c>
      <c r="Q5" s="38">
        <f t="shared" si="4"/>
        <v>10123</v>
      </c>
      <c r="R5" s="38">
        <f t="shared" si="4"/>
        <v>10257</v>
      </c>
      <c r="S5" s="38">
        <f t="shared" si="4"/>
        <v>10652</v>
      </c>
      <c r="T5" s="38">
        <f t="shared" si="4"/>
        <v>11493</v>
      </c>
      <c r="U5" s="38">
        <f t="shared" si="4"/>
        <v>11349</v>
      </c>
      <c r="V5" s="38">
        <f t="shared" si="4"/>
        <v>12580</v>
      </c>
      <c r="W5" s="38">
        <f t="shared" si="4"/>
        <v>12761</v>
      </c>
      <c r="X5" s="38">
        <f t="shared" si="4"/>
        <v>13172</v>
      </c>
      <c r="Y5" s="38">
        <f t="shared" ref="Y5:Z5" si="5">SUM(Y7:Y22)</f>
        <v>12384</v>
      </c>
      <c r="Z5" s="38">
        <f t="shared" si="5"/>
        <v>13115</v>
      </c>
      <c r="AA5" s="38">
        <f t="shared" ref="AA5:AB5" si="6">SUM(AA7:AA22)</f>
        <v>13594</v>
      </c>
      <c r="AB5" s="38">
        <f t="shared" si="6"/>
        <v>14238</v>
      </c>
      <c r="AC5" s="38">
        <f t="shared" ref="AC5:AH5" si="7">SUM(AC7:AC22)</f>
        <v>14904</v>
      </c>
      <c r="AD5" s="38">
        <f t="shared" si="7"/>
        <v>15391</v>
      </c>
      <c r="AE5" s="38">
        <f t="shared" si="7"/>
        <v>15345</v>
      </c>
      <c r="AF5" s="38">
        <f t="shared" si="7"/>
        <v>16150</v>
      </c>
      <c r="AG5" s="38">
        <f t="shared" si="7"/>
        <v>16126</v>
      </c>
      <c r="AH5" s="38">
        <f t="shared" si="7"/>
        <v>16470</v>
      </c>
    </row>
    <row r="6" spans="1:34" s="11" customFormat="1">
      <c r="A6" s="39" t="s">
        <v>213</v>
      </c>
      <c r="B6" s="40">
        <f t="shared" ref="B6:X6" si="8">(B5/B4)*100</f>
        <v>22.485260498135002</v>
      </c>
      <c r="C6" s="40">
        <f t="shared" si="8"/>
        <v>23.220173403345949</v>
      </c>
      <c r="D6" s="40">
        <f t="shared" si="8"/>
        <v>22.645685525438118</v>
      </c>
      <c r="E6" s="40">
        <f t="shared" si="8"/>
        <v>24.268497330282226</v>
      </c>
      <c r="F6" s="40">
        <f t="shared" si="8"/>
        <v>24.934261407579271</v>
      </c>
      <c r="G6" s="40">
        <f t="shared" si="8"/>
        <v>27.09055583069831</v>
      </c>
      <c r="H6" s="40">
        <f t="shared" si="8"/>
        <v>26.3719424044411</v>
      </c>
      <c r="I6" s="40">
        <f t="shared" si="8"/>
        <v>27.004633415099484</v>
      </c>
      <c r="J6" s="40">
        <f t="shared" si="8"/>
        <v>27.848363485706397</v>
      </c>
      <c r="K6" s="40">
        <f t="shared" si="8"/>
        <v>29.214465937762824</v>
      </c>
      <c r="L6" s="40">
        <f t="shared" si="8"/>
        <v>29.055921052631579</v>
      </c>
      <c r="M6" s="40">
        <f t="shared" si="8"/>
        <v>29.015234804460498</v>
      </c>
      <c r="N6" s="40">
        <f t="shared" si="8"/>
        <v>29.747760340555306</v>
      </c>
      <c r="O6" s="40">
        <f t="shared" si="8"/>
        <v>29.587155963302752</v>
      </c>
      <c r="P6" s="40">
        <f t="shared" si="8"/>
        <v>29.864828086727751</v>
      </c>
      <c r="Q6" s="40">
        <f t="shared" si="8"/>
        <v>31.327948503698199</v>
      </c>
      <c r="R6" s="40">
        <f t="shared" si="8"/>
        <v>31.931386588630843</v>
      </c>
      <c r="S6" s="40">
        <f t="shared" si="8"/>
        <v>31.937157077324379</v>
      </c>
      <c r="T6" s="40">
        <f t="shared" si="8"/>
        <v>32.258336140114515</v>
      </c>
      <c r="U6" s="40">
        <f t="shared" si="8"/>
        <v>30.86735387711807</v>
      </c>
      <c r="V6" s="40">
        <f t="shared" si="8"/>
        <v>31.323141277824813</v>
      </c>
      <c r="W6" s="40">
        <f t="shared" si="8"/>
        <v>31.665798158763241</v>
      </c>
      <c r="X6" s="40">
        <f t="shared" si="8"/>
        <v>32.295395478840774</v>
      </c>
      <c r="Y6" s="40">
        <f t="shared" ref="Y6:Z6" si="9">(Y5/Y4)*100</f>
        <v>32.939674433450364</v>
      </c>
      <c r="Z6" s="40">
        <f t="shared" si="9"/>
        <v>34.361245022007964</v>
      </c>
      <c r="AA6" s="40">
        <f t="shared" ref="AA6:AB6" si="10">(AA5/AA4)*100</f>
        <v>34.32221576993966</v>
      </c>
      <c r="AB6" s="40">
        <f t="shared" si="10"/>
        <v>34.64739378011388</v>
      </c>
      <c r="AC6" s="40">
        <f t="shared" ref="AC6:AH6" si="11">(AC5/AC4)*100</f>
        <v>35.12857378556108</v>
      </c>
      <c r="AD6" s="40">
        <f t="shared" si="11"/>
        <v>35.122429885214849</v>
      </c>
      <c r="AE6" s="40">
        <f t="shared" si="11"/>
        <v>34.91785372957721</v>
      </c>
      <c r="AF6" s="40">
        <f t="shared" si="11"/>
        <v>35.982443241316311</v>
      </c>
      <c r="AG6" s="40">
        <f t="shared" si="11"/>
        <v>35.608452756861794</v>
      </c>
      <c r="AH6" s="40">
        <f t="shared" si="11"/>
        <v>35.749169759718697</v>
      </c>
    </row>
    <row r="7" spans="1:34">
      <c r="A7" s="37" t="s">
        <v>15</v>
      </c>
      <c r="B7" s="41">
        <v>257</v>
      </c>
      <c r="C7" s="41">
        <v>267</v>
      </c>
      <c r="D7" s="41">
        <v>254</v>
      </c>
      <c r="E7" s="41">
        <v>281</v>
      </c>
      <c r="F7" s="41">
        <f>263+0</f>
        <v>263</v>
      </c>
      <c r="G7" s="41">
        <v>231</v>
      </c>
      <c r="H7" s="41">
        <f>341+0</f>
        <v>341</v>
      </c>
      <c r="I7" s="41">
        <f>348+0</f>
        <v>348</v>
      </c>
      <c r="J7" s="41">
        <v>252</v>
      </c>
      <c r="K7" s="41">
        <v>282</v>
      </c>
      <c r="L7" s="41">
        <v>344</v>
      </c>
      <c r="M7" s="41">
        <v>318</v>
      </c>
      <c r="N7" s="41">
        <v>389</v>
      </c>
      <c r="O7" s="41">
        <v>425</v>
      </c>
      <c r="P7" s="41">
        <v>431</v>
      </c>
      <c r="Q7" s="41">
        <v>414</v>
      </c>
      <c r="R7" s="41">
        <v>435</v>
      </c>
      <c r="S7" s="41">
        <v>377</v>
      </c>
      <c r="T7" s="41">
        <v>406</v>
      </c>
      <c r="U7" s="41">
        <v>417</v>
      </c>
      <c r="V7" s="41">
        <v>608</v>
      </c>
      <c r="W7" s="41">
        <v>541</v>
      </c>
      <c r="X7" s="41">
        <v>562</v>
      </c>
      <c r="Y7" s="41">
        <v>405</v>
      </c>
      <c r="Z7" s="1">
        <v>419</v>
      </c>
      <c r="AA7" s="1">
        <v>499</v>
      </c>
      <c r="AB7" s="1">
        <v>491</v>
      </c>
      <c r="AC7" s="1">
        <v>500</v>
      </c>
      <c r="AD7" s="1">
        <v>556</v>
      </c>
      <c r="AE7" s="1">
        <v>561</v>
      </c>
      <c r="AF7" s="1">
        <v>554</v>
      </c>
      <c r="AG7" s="1">
        <v>555</v>
      </c>
      <c r="AH7" s="1">
        <v>530</v>
      </c>
    </row>
    <row r="8" spans="1:34">
      <c r="A8" s="37" t="s">
        <v>16</v>
      </c>
      <c r="B8" s="41">
        <v>106</v>
      </c>
      <c r="C8" s="41">
        <v>93</v>
      </c>
      <c r="D8" s="41">
        <v>105</v>
      </c>
      <c r="E8" s="41">
        <v>261</v>
      </c>
      <c r="F8" s="41">
        <v>129</v>
      </c>
      <c r="G8" s="41">
        <v>100</v>
      </c>
      <c r="H8" s="41">
        <f>96+0</f>
        <v>96</v>
      </c>
      <c r="I8" s="41">
        <f>135+0</f>
        <v>135</v>
      </c>
      <c r="J8" s="41">
        <v>92</v>
      </c>
      <c r="K8" s="41">
        <v>99</v>
      </c>
      <c r="L8" s="41">
        <v>121</v>
      </c>
      <c r="M8" s="41">
        <v>126</v>
      </c>
      <c r="N8" s="41">
        <v>118</v>
      </c>
      <c r="O8" s="41">
        <v>121</v>
      </c>
      <c r="P8" s="41">
        <v>127</v>
      </c>
      <c r="Q8" s="41">
        <v>105</v>
      </c>
      <c r="R8" s="41">
        <v>138</v>
      </c>
      <c r="S8" s="41">
        <v>175</v>
      </c>
      <c r="T8" s="41">
        <v>190</v>
      </c>
      <c r="U8" s="41">
        <v>165</v>
      </c>
      <c r="V8" s="41">
        <v>162</v>
      </c>
      <c r="W8" s="41">
        <v>160</v>
      </c>
      <c r="X8" s="41">
        <v>205</v>
      </c>
      <c r="Y8" s="41">
        <v>213</v>
      </c>
      <c r="Z8" s="1">
        <v>235</v>
      </c>
      <c r="AA8" s="1">
        <v>174</v>
      </c>
      <c r="AB8" s="1">
        <v>209</v>
      </c>
      <c r="AC8" s="1">
        <v>192</v>
      </c>
      <c r="AD8" s="1">
        <v>211</v>
      </c>
      <c r="AE8" s="1">
        <v>221</v>
      </c>
      <c r="AF8" s="1">
        <v>218</v>
      </c>
      <c r="AG8" s="1">
        <v>221</v>
      </c>
      <c r="AH8" s="1">
        <v>225</v>
      </c>
    </row>
    <row r="9" spans="1:34">
      <c r="A9" s="37" t="s">
        <v>49</v>
      </c>
      <c r="B9" s="41"/>
      <c r="C9" s="41"/>
      <c r="D9" s="41"/>
      <c r="E9" s="41"/>
      <c r="F9" s="41">
        <v>93</v>
      </c>
      <c r="G9" s="41">
        <v>72</v>
      </c>
      <c r="H9" s="41">
        <v>114</v>
      </c>
      <c r="I9" s="41">
        <v>114</v>
      </c>
      <c r="J9" s="41">
        <v>106</v>
      </c>
      <c r="K9" s="41">
        <v>98</v>
      </c>
      <c r="L9" s="41">
        <v>86</v>
      </c>
      <c r="M9" s="41">
        <v>134</v>
      </c>
      <c r="N9" s="41">
        <v>125</v>
      </c>
      <c r="O9" s="41">
        <v>138</v>
      </c>
      <c r="P9" s="41">
        <v>122</v>
      </c>
      <c r="Q9" s="41">
        <v>127</v>
      </c>
      <c r="R9" s="41">
        <v>126</v>
      </c>
      <c r="S9" s="41">
        <v>131</v>
      </c>
      <c r="T9" s="41">
        <v>163</v>
      </c>
      <c r="U9" s="41">
        <v>175</v>
      </c>
      <c r="V9" s="41">
        <v>192</v>
      </c>
      <c r="W9" s="41">
        <v>157</v>
      </c>
      <c r="X9" s="41">
        <v>187</v>
      </c>
      <c r="Y9" s="41">
        <v>124</v>
      </c>
      <c r="Z9" s="1">
        <v>140</v>
      </c>
      <c r="AA9" s="1">
        <v>162</v>
      </c>
      <c r="AB9" s="1">
        <v>145</v>
      </c>
      <c r="AC9" s="1">
        <v>144</v>
      </c>
      <c r="AD9" s="1">
        <v>188</v>
      </c>
      <c r="AE9" s="1">
        <v>232</v>
      </c>
      <c r="AF9" s="1">
        <v>233</v>
      </c>
      <c r="AG9" s="1">
        <v>283</v>
      </c>
      <c r="AH9" s="1">
        <v>274</v>
      </c>
    </row>
    <row r="10" spans="1:34">
      <c r="A10" s="37" t="s">
        <v>17</v>
      </c>
      <c r="B10" s="41">
        <v>1418</v>
      </c>
      <c r="C10" s="41">
        <v>1517</v>
      </c>
      <c r="D10" s="41">
        <v>1226</v>
      </c>
      <c r="E10" s="41">
        <v>1038</v>
      </c>
      <c r="F10" s="41">
        <v>973</v>
      </c>
      <c r="G10" s="41">
        <v>968</v>
      </c>
      <c r="H10" s="41">
        <f>703+497</f>
        <v>1200</v>
      </c>
      <c r="I10" s="41">
        <f>760+490</f>
        <v>1250</v>
      </c>
      <c r="J10" s="41">
        <v>1091</v>
      </c>
      <c r="K10" s="41">
        <v>1356</v>
      </c>
      <c r="L10" s="41">
        <v>1370</v>
      </c>
      <c r="M10" s="41">
        <v>1396</v>
      </c>
      <c r="N10" s="41">
        <v>1420</v>
      </c>
      <c r="O10" s="41">
        <v>1473</v>
      </c>
      <c r="P10" s="41">
        <v>1519</v>
      </c>
      <c r="Q10" s="41">
        <v>1789</v>
      </c>
      <c r="R10" s="41">
        <v>2186</v>
      </c>
      <c r="S10" s="41">
        <v>2347</v>
      </c>
      <c r="T10" s="41">
        <v>2451</v>
      </c>
      <c r="U10" s="41">
        <v>2212</v>
      </c>
      <c r="V10" s="41">
        <v>2551</v>
      </c>
      <c r="W10" s="41">
        <v>2584</v>
      </c>
      <c r="X10" s="41">
        <v>2724</v>
      </c>
      <c r="Y10" s="41">
        <v>2123</v>
      </c>
      <c r="Z10" s="1">
        <v>2120</v>
      </c>
      <c r="AA10" s="1">
        <v>2079</v>
      </c>
      <c r="AB10" s="1">
        <v>2181</v>
      </c>
      <c r="AC10" s="1">
        <v>2411</v>
      </c>
      <c r="AD10" s="1">
        <v>2316</v>
      </c>
      <c r="AE10" s="4">
        <v>2265</v>
      </c>
      <c r="AF10" s="4">
        <v>2420</v>
      </c>
      <c r="AG10" s="4">
        <v>2402</v>
      </c>
      <c r="AH10" s="4">
        <v>2360</v>
      </c>
    </row>
    <row r="11" spans="1:34">
      <c r="A11" s="37" t="s">
        <v>18</v>
      </c>
      <c r="B11" s="41">
        <v>570</v>
      </c>
      <c r="C11" s="41">
        <v>530</v>
      </c>
      <c r="D11" s="41">
        <v>553</v>
      </c>
      <c r="E11" s="41">
        <v>601</v>
      </c>
      <c r="F11" s="41">
        <f>668+46</f>
        <v>714</v>
      </c>
      <c r="G11" s="41">
        <v>531</v>
      </c>
      <c r="H11" s="41">
        <f>587+213</f>
        <v>800</v>
      </c>
      <c r="I11" s="41">
        <f>569+231</f>
        <v>800</v>
      </c>
      <c r="J11" s="41">
        <v>641</v>
      </c>
      <c r="K11" s="41">
        <v>692</v>
      </c>
      <c r="L11" s="41">
        <v>605</v>
      </c>
      <c r="M11" s="41">
        <v>728</v>
      </c>
      <c r="N11" s="41">
        <v>758</v>
      </c>
      <c r="O11" s="41">
        <v>725</v>
      </c>
      <c r="P11" s="41">
        <v>859</v>
      </c>
      <c r="Q11" s="41">
        <v>809</v>
      </c>
      <c r="R11" s="41">
        <v>835</v>
      </c>
      <c r="S11" s="41">
        <v>809</v>
      </c>
      <c r="T11" s="41">
        <v>835</v>
      </c>
      <c r="U11" s="41">
        <v>982</v>
      </c>
      <c r="V11" s="41">
        <v>1046</v>
      </c>
      <c r="W11" s="41">
        <v>1118</v>
      </c>
      <c r="X11" s="41">
        <v>1158</v>
      </c>
      <c r="Y11" s="41">
        <v>1197</v>
      </c>
      <c r="Z11" s="1">
        <v>1198</v>
      </c>
      <c r="AA11" s="1">
        <v>1175</v>
      </c>
      <c r="AB11" s="1">
        <v>1188</v>
      </c>
      <c r="AC11" s="1">
        <v>1304</v>
      </c>
      <c r="AD11" s="1">
        <v>1286</v>
      </c>
      <c r="AE11" s="96">
        <v>1303</v>
      </c>
      <c r="AF11" s="96">
        <v>1364</v>
      </c>
      <c r="AG11" s="96">
        <v>1339</v>
      </c>
      <c r="AH11" s="96">
        <v>1258</v>
      </c>
    </row>
    <row r="12" spans="1:34">
      <c r="A12" s="37" t="s">
        <v>19</v>
      </c>
      <c r="B12" s="41">
        <v>251</v>
      </c>
      <c r="C12" s="41">
        <v>261</v>
      </c>
      <c r="D12" s="41">
        <v>264</v>
      </c>
      <c r="E12" s="41">
        <v>271</v>
      </c>
      <c r="F12" s="41">
        <v>255</v>
      </c>
      <c r="G12" s="41">
        <v>244</v>
      </c>
      <c r="H12" s="41">
        <f>228+104</f>
        <v>332</v>
      </c>
      <c r="I12" s="41">
        <f>204+109</f>
        <v>313</v>
      </c>
      <c r="J12" s="41">
        <v>201</v>
      </c>
      <c r="K12" s="41">
        <v>251</v>
      </c>
      <c r="L12" s="41">
        <v>308</v>
      </c>
      <c r="M12" s="41">
        <v>329</v>
      </c>
      <c r="N12" s="41">
        <v>318</v>
      </c>
      <c r="O12" s="41">
        <v>317</v>
      </c>
      <c r="P12" s="41">
        <v>325</v>
      </c>
      <c r="Q12" s="41">
        <v>344</v>
      </c>
      <c r="R12" s="41">
        <v>302</v>
      </c>
      <c r="S12" s="41">
        <v>326</v>
      </c>
      <c r="T12" s="41">
        <v>400</v>
      </c>
      <c r="U12" s="41">
        <v>362</v>
      </c>
      <c r="V12" s="41">
        <v>353</v>
      </c>
      <c r="W12" s="41">
        <v>400</v>
      </c>
      <c r="X12" s="41">
        <v>391</v>
      </c>
      <c r="Y12" s="41">
        <v>333</v>
      </c>
      <c r="Z12" s="1">
        <v>370</v>
      </c>
      <c r="AA12" s="1">
        <v>421</v>
      </c>
      <c r="AB12" s="1">
        <v>398</v>
      </c>
      <c r="AC12" s="1">
        <v>396</v>
      </c>
      <c r="AD12" s="1">
        <v>482</v>
      </c>
      <c r="AE12" s="1">
        <v>416</v>
      </c>
      <c r="AF12" s="1">
        <v>476</v>
      </c>
      <c r="AG12" s="1">
        <v>483</v>
      </c>
      <c r="AH12" s="1">
        <v>517</v>
      </c>
    </row>
    <row r="13" spans="1:34">
      <c r="A13" s="37" t="s">
        <v>20</v>
      </c>
      <c r="B13" s="41">
        <v>303</v>
      </c>
      <c r="C13" s="41">
        <v>322</v>
      </c>
      <c r="D13" s="41">
        <v>269</v>
      </c>
      <c r="E13" s="41">
        <v>280</v>
      </c>
      <c r="F13" s="41">
        <v>256</v>
      </c>
      <c r="G13" s="41">
        <v>241</v>
      </c>
      <c r="H13" s="41">
        <f>100+282</f>
        <v>382</v>
      </c>
      <c r="I13" s="41">
        <f>297+104</f>
        <v>401</v>
      </c>
      <c r="J13" s="41">
        <v>299</v>
      </c>
      <c r="K13" s="41">
        <v>317</v>
      </c>
      <c r="L13" s="41">
        <v>343</v>
      </c>
      <c r="M13" s="41">
        <v>373</v>
      </c>
      <c r="N13" s="41">
        <v>381</v>
      </c>
      <c r="O13" s="41">
        <v>385</v>
      </c>
      <c r="P13" s="41">
        <v>428</v>
      </c>
      <c r="Q13" s="41">
        <v>440</v>
      </c>
      <c r="R13" s="41">
        <v>331</v>
      </c>
      <c r="S13" s="41">
        <v>408</v>
      </c>
      <c r="T13" s="41">
        <v>356</v>
      </c>
      <c r="U13" s="41">
        <v>290</v>
      </c>
      <c r="V13" s="41">
        <v>344</v>
      </c>
      <c r="W13" s="41">
        <v>332</v>
      </c>
      <c r="X13" s="41">
        <v>395</v>
      </c>
      <c r="Y13" s="41">
        <v>381</v>
      </c>
      <c r="Z13" s="1">
        <v>347</v>
      </c>
      <c r="AA13" s="1">
        <v>444</v>
      </c>
      <c r="AB13" s="1">
        <v>409</v>
      </c>
      <c r="AC13" s="1">
        <v>413</v>
      </c>
      <c r="AD13" s="1">
        <v>441</v>
      </c>
      <c r="AE13" s="1">
        <v>414</v>
      </c>
      <c r="AF13" s="1">
        <v>462</v>
      </c>
      <c r="AG13" s="1">
        <v>422</v>
      </c>
      <c r="AH13" s="1">
        <v>470</v>
      </c>
    </row>
    <row r="14" spans="1:34">
      <c r="A14" s="37" t="s">
        <v>21</v>
      </c>
      <c r="B14" s="41">
        <v>602</v>
      </c>
      <c r="C14" s="41">
        <v>587</v>
      </c>
      <c r="D14" s="41">
        <v>594</v>
      </c>
      <c r="E14" s="41">
        <v>598</v>
      </c>
      <c r="F14" s="41">
        <f>695+1</f>
        <v>696</v>
      </c>
      <c r="G14" s="41">
        <v>558</v>
      </c>
      <c r="H14" s="41">
        <f>442+261</f>
        <v>703</v>
      </c>
      <c r="I14" s="41">
        <f>534+270</f>
        <v>804</v>
      </c>
      <c r="J14" s="41">
        <v>648</v>
      </c>
      <c r="K14" s="41">
        <v>640</v>
      </c>
      <c r="L14" s="41">
        <v>623</v>
      </c>
      <c r="M14" s="41">
        <v>597</v>
      </c>
      <c r="N14" s="41">
        <v>605</v>
      </c>
      <c r="O14" s="41">
        <v>681</v>
      </c>
      <c r="P14" s="41">
        <v>690</v>
      </c>
      <c r="Q14" s="41">
        <v>694</v>
      </c>
      <c r="R14" s="41">
        <v>650</v>
      </c>
      <c r="S14" s="41">
        <v>689</v>
      </c>
      <c r="T14" s="41">
        <v>803</v>
      </c>
      <c r="U14" s="41">
        <v>820</v>
      </c>
      <c r="V14" s="41">
        <v>830</v>
      </c>
      <c r="W14" s="41">
        <v>815</v>
      </c>
      <c r="X14" s="41">
        <v>696</v>
      </c>
      <c r="Y14" s="41">
        <v>751</v>
      </c>
      <c r="Z14" s="1">
        <v>788</v>
      </c>
      <c r="AA14" s="1">
        <v>877</v>
      </c>
      <c r="AB14" s="1">
        <v>1017</v>
      </c>
      <c r="AC14" s="1">
        <v>923</v>
      </c>
      <c r="AD14" s="1">
        <v>1001</v>
      </c>
      <c r="AE14" s="1">
        <v>948</v>
      </c>
      <c r="AF14" s="1">
        <v>934</v>
      </c>
      <c r="AG14" s="1">
        <v>1076</v>
      </c>
      <c r="AH14" s="1">
        <v>987</v>
      </c>
    </row>
    <row r="15" spans="1:34">
      <c r="A15" s="37" t="s">
        <v>22</v>
      </c>
      <c r="B15" s="41">
        <v>276</v>
      </c>
      <c r="C15" s="41">
        <v>216</v>
      </c>
      <c r="D15" s="41">
        <v>241</v>
      </c>
      <c r="E15" s="41">
        <v>274</v>
      </c>
      <c r="F15" s="41">
        <f>240+5</f>
        <v>245</v>
      </c>
      <c r="G15" s="41">
        <v>244</v>
      </c>
      <c r="H15" s="41">
        <f>245+0</f>
        <v>245</v>
      </c>
      <c r="I15" s="41">
        <f>282+8</f>
        <v>290</v>
      </c>
      <c r="J15" s="41">
        <v>240</v>
      </c>
      <c r="K15" s="41">
        <v>214</v>
      </c>
      <c r="L15" s="41">
        <v>243</v>
      </c>
      <c r="M15" s="41">
        <v>291</v>
      </c>
      <c r="N15" s="41">
        <v>284</v>
      </c>
      <c r="O15" s="41">
        <v>248</v>
      </c>
      <c r="P15" s="41">
        <v>280</v>
      </c>
      <c r="Q15" s="41">
        <v>264</v>
      </c>
      <c r="R15" s="41">
        <v>279</v>
      </c>
      <c r="S15" s="41">
        <v>294</v>
      </c>
      <c r="T15" s="41">
        <v>312</v>
      </c>
      <c r="U15" s="41">
        <v>295</v>
      </c>
      <c r="V15" s="41">
        <v>342</v>
      </c>
      <c r="W15" s="41">
        <v>382</v>
      </c>
      <c r="X15" s="41">
        <v>345</v>
      </c>
      <c r="Y15" s="41">
        <v>376</v>
      </c>
      <c r="Z15" s="1">
        <v>334</v>
      </c>
      <c r="AA15" s="1">
        <v>399</v>
      </c>
      <c r="AB15" s="1">
        <v>400</v>
      </c>
      <c r="AC15" s="1">
        <v>342</v>
      </c>
      <c r="AD15" s="1">
        <v>448</v>
      </c>
      <c r="AE15" s="1">
        <v>483</v>
      </c>
      <c r="AF15" s="1">
        <v>508</v>
      </c>
      <c r="AG15" s="1">
        <v>507</v>
      </c>
      <c r="AH15" s="1">
        <v>619</v>
      </c>
    </row>
    <row r="16" spans="1:34">
      <c r="A16" s="37" t="s">
        <v>23</v>
      </c>
      <c r="B16" s="41">
        <v>716</v>
      </c>
      <c r="C16" s="41">
        <v>739</v>
      </c>
      <c r="D16" s="41">
        <v>714</v>
      </c>
      <c r="E16" s="41">
        <v>725</v>
      </c>
      <c r="F16" s="41">
        <v>697</v>
      </c>
      <c r="G16" s="41">
        <v>705</v>
      </c>
      <c r="H16" s="41">
        <f>610+114</f>
        <v>724</v>
      </c>
      <c r="I16" s="41">
        <f>718+144</f>
        <v>862</v>
      </c>
      <c r="J16" s="41">
        <v>722</v>
      </c>
      <c r="K16" s="41">
        <v>776</v>
      </c>
      <c r="L16" s="41">
        <v>774</v>
      </c>
      <c r="M16" s="41">
        <v>824</v>
      </c>
      <c r="N16" s="41">
        <v>829</v>
      </c>
      <c r="O16" s="41">
        <v>868</v>
      </c>
      <c r="P16" s="41">
        <v>870</v>
      </c>
      <c r="Q16" s="41">
        <v>969</v>
      </c>
      <c r="R16" s="41">
        <v>947</v>
      </c>
      <c r="S16" s="41">
        <v>1003</v>
      </c>
      <c r="T16" s="41">
        <v>1080</v>
      </c>
      <c r="U16" s="41">
        <v>1089</v>
      </c>
      <c r="V16" s="41">
        <v>1141</v>
      </c>
      <c r="W16" s="41">
        <v>1238</v>
      </c>
      <c r="X16" s="41">
        <v>1286</v>
      </c>
      <c r="Y16" s="41">
        <v>1213</v>
      </c>
      <c r="Z16" s="1">
        <v>1237</v>
      </c>
      <c r="AA16" s="1">
        <v>1453</v>
      </c>
      <c r="AB16" s="1">
        <v>1548</v>
      </c>
      <c r="AC16" s="1">
        <v>1493</v>
      </c>
      <c r="AD16" s="1">
        <v>1530</v>
      </c>
      <c r="AE16" s="1">
        <v>1545</v>
      </c>
      <c r="AF16" s="1">
        <v>1696</v>
      </c>
      <c r="AG16" s="1">
        <v>1635</v>
      </c>
      <c r="AH16" s="1">
        <v>1801</v>
      </c>
    </row>
    <row r="17" spans="1:34">
      <c r="A17" s="37" t="s">
        <v>24</v>
      </c>
      <c r="B17" s="41" t="s">
        <v>115</v>
      </c>
      <c r="C17" s="41" t="s">
        <v>115</v>
      </c>
      <c r="D17" s="41" t="s">
        <v>115</v>
      </c>
      <c r="E17" s="41">
        <v>405</v>
      </c>
      <c r="F17" s="41">
        <v>404</v>
      </c>
      <c r="G17" s="41">
        <v>271</v>
      </c>
      <c r="H17" s="41">
        <f>344+14</f>
        <v>358</v>
      </c>
      <c r="I17" s="41">
        <f>374+34</f>
        <v>408</v>
      </c>
      <c r="J17" s="41">
        <v>299</v>
      </c>
      <c r="K17" s="41">
        <v>320</v>
      </c>
      <c r="L17" s="41">
        <v>273</v>
      </c>
      <c r="M17" s="41">
        <v>318</v>
      </c>
      <c r="N17" s="41">
        <v>251</v>
      </c>
      <c r="O17" s="41">
        <v>334</v>
      </c>
      <c r="P17" s="41">
        <v>311</v>
      </c>
      <c r="Q17" s="41">
        <v>353</v>
      </c>
      <c r="R17" s="41">
        <v>323</v>
      </c>
      <c r="S17" s="41">
        <v>279</v>
      </c>
      <c r="T17" s="41">
        <v>278</v>
      </c>
      <c r="U17" s="41">
        <v>290</v>
      </c>
      <c r="V17" s="41">
        <v>294</v>
      </c>
      <c r="W17" s="41">
        <v>252</v>
      </c>
      <c r="X17" s="41">
        <v>297</v>
      </c>
      <c r="Y17" s="41">
        <v>298</v>
      </c>
      <c r="Z17" s="1">
        <v>266</v>
      </c>
      <c r="AA17" s="1">
        <v>286</v>
      </c>
      <c r="AB17" s="1">
        <v>304</v>
      </c>
      <c r="AC17" s="1">
        <v>345</v>
      </c>
      <c r="AD17" s="1">
        <v>329</v>
      </c>
      <c r="AE17" s="1">
        <v>348</v>
      </c>
      <c r="AF17" s="1">
        <v>358</v>
      </c>
      <c r="AG17" s="1">
        <v>413</v>
      </c>
      <c r="AH17" s="1">
        <v>328</v>
      </c>
    </row>
    <row r="18" spans="1:34">
      <c r="A18" s="37" t="s">
        <v>25</v>
      </c>
      <c r="B18" s="41">
        <v>174</v>
      </c>
      <c r="C18" s="41">
        <v>227</v>
      </c>
      <c r="D18" s="41">
        <v>196</v>
      </c>
      <c r="E18" s="41">
        <v>207</v>
      </c>
      <c r="F18" s="41">
        <v>224</v>
      </c>
      <c r="G18" s="41">
        <v>216</v>
      </c>
      <c r="H18" s="41">
        <f>247+19</f>
        <v>266</v>
      </c>
      <c r="I18" s="41">
        <f>319+24</f>
        <v>343</v>
      </c>
      <c r="J18" s="41">
        <v>280</v>
      </c>
      <c r="K18" s="41">
        <v>304</v>
      </c>
      <c r="L18" s="41">
        <v>356</v>
      </c>
      <c r="M18" s="41">
        <v>296</v>
      </c>
      <c r="N18" s="41">
        <v>318</v>
      </c>
      <c r="O18" s="41">
        <v>310</v>
      </c>
      <c r="P18" s="41">
        <v>304</v>
      </c>
      <c r="Q18" s="41">
        <v>322</v>
      </c>
      <c r="R18" s="41">
        <v>310</v>
      </c>
      <c r="S18" s="41">
        <v>286</v>
      </c>
      <c r="T18" s="41">
        <v>335</v>
      </c>
      <c r="U18" s="41">
        <v>287</v>
      </c>
      <c r="V18" s="41">
        <v>315</v>
      </c>
      <c r="W18" s="41">
        <v>426</v>
      </c>
      <c r="X18" s="41">
        <v>410</v>
      </c>
      <c r="Y18" s="41">
        <v>422</v>
      </c>
      <c r="Z18" s="1">
        <v>464</v>
      </c>
      <c r="AA18" s="1">
        <v>445</v>
      </c>
      <c r="AB18" s="1">
        <v>527</v>
      </c>
      <c r="AC18" s="1">
        <v>547</v>
      </c>
      <c r="AD18" s="1">
        <v>624</v>
      </c>
      <c r="AE18" s="1">
        <v>557</v>
      </c>
      <c r="AF18" s="1">
        <v>511</v>
      </c>
      <c r="AG18" s="1">
        <v>518</v>
      </c>
      <c r="AH18" s="1">
        <v>609</v>
      </c>
    </row>
    <row r="19" spans="1:34">
      <c r="A19" s="37" t="s">
        <v>26</v>
      </c>
      <c r="B19" s="41">
        <v>570</v>
      </c>
      <c r="C19" s="41">
        <v>565</v>
      </c>
      <c r="D19" s="41">
        <v>604</v>
      </c>
      <c r="E19" s="41">
        <v>582</v>
      </c>
      <c r="F19" s="41">
        <f>578+20</f>
        <v>598</v>
      </c>
      <c r="G19" s="41">
        <v>513</v>
      </c>
      <c r="H19" s="41">
        <f>358+235</f>
        <v>593</v>
      </c>
      <c r="I19" s="41">
        <f>369+251</f>
        <v>620</v>
      </c>
      <c r="J19" s="41">
        <v>621</v>
      </c>
      <c r="K19" s="41">
        <v>610</v>
      </c>
      <c r="L19" s="41">
        <v>567</v>
      </c>
      <c r="M19" s="41">
        <v>556</v>
      </c>
      <c r="N19" s="41">
        <v>566</v>
      </c>
      <c r="O19" s="41">
        <v>598</v>
      </c>
      <c r="P19" s="41">
        <v>555</v>
      </c>
      <c r="Q19" s="41">
        <v>593</v>
      </c>
      <c r="R19" s="41">
        <v>575</v>
      </c>
      <c r="S19" s="41">
        <v>690</v>
      </c>
      <c r="T19" s="41">
        <v>701</v>
      </c>
      <c r="U19" s="41">
        <v>707</v>
      </c>
      <c r="V19" s="41">
        <v>808</v>
      </c>
      <c r="W19" s="41">
        <v>692</v>
      </c>
      <c r="X19" s="41">
        <v>768</v>
      </c>
      <c r="Y19" s="41">
        <v>792</v>
      </c>
      <c r="Z19" s="1">
        <v>992</v>
      </c>
      <c r="AA19" s="1">
        <v>917</v>
      </c>
      <c r="AB19" s="1">
        <v>1025</v>
      </c>
      <c r="AC19" s="1">
        <v>1089</v>
      </c>
      <c r="AD19" s="1">
        <v>1122</v>
      </c>
      <c r="AE19" s="1">
        <v>1162</v>
      </c>
      <c r="AF19" s="1">
        <v>1354</v>
      </c>
      <c r="AG19" s="1">
        <v>1328</v>
      </c>
      <c r="AH19" s="1">
        <v>1344</v>
      </c>
    </row>
    <row r="20" spans="1:34">
      <c r="A20" s="37" t="s">
        <v>27</v>
      </c>
      <c r="B20" s="41">
        <v>1595</v>
      </c>
      <c r="C20" s="41">
        <v>1612</v>
      </c>
      <c r="D20" s="41">
        <v>1753</v>
      </c>
      <c r="E20" s="41">
        <v>1676</v>
      </c>
      <c r="F20" s="41">
        <f>1746+21</f>
        <v>1767</v>
      </c>
      <c r="G20" s="41">
        <v>1554</v>
      </c>
      <c r="H20" s="41">
        <f>1807+284</f>
        <v>2091</v>
      </c>
      <c r="I20" s="41">
        <f>1969+283</f>
        <v>2252</v>
      </c>
      <c r="J20" s="41">
        <v>1754</v>
      </c>
      <c r="K20" s="41">
        <v>1840</v>
      </c>
      <c r="L20" s="41">
        <v>1932</v>
      </c>
      <c r="M20" s="41">
        <v>1967</v>
      </c>
      <c r="N20" s="41">
        <v>2067</v>
      </c>
      <c r="O20" s="41">
        <v>2048</v>
      </c>
      <c r="P20" s="41">
        <v>2033</v>
      </c>
      <c r="Q20" s="41">
        <v>1914</v>
      </c>
      <c r="R20" s="41">
        <v>1831</v>
      </c>
      <c r="S20" s="41">
        <v>1778</v>
      </c>
      <c r="T20" s="41">
        <v>1893</v>
      </c>
      <c r="U20" s="41">
        <v>1950</v>
      </c>
      <c r="V20" s="41">
        <v>2223</v>
      </c>
      <c r="W20" s="41">
        <v>2402</v>
      </c>
      <c r="X20" s="41">
        <v>2473</v>
      </c>
      <c r="Y20" s="41">
        <v>2276</v>
      </c>
      <c r="Z20" s="1">
        <v>2442</v>
      </c>
      <c r="AA20" s="1">
        <v>2703</v>
      </c>
      <c r="AB20" s="1">
        <v>2782</v>
      </c>
      <c r="AC20" s="1">
        <v>2991</v>
      </c>
      <c r="AD20" s="1">
        <v>3089</v>
      </c>
      <c r="AE20" s="1">
        <v>3103</v>
      </c>
      <c r="AF20" s="1">
        <v>3146</v>
      </c>
      <c r="AG20" s="1">
        <v>3087</v>
      </c>
      <c r="AH20" s="1">
        <v>3305</v>
      </c>
    </row>
    <row r="21" spans="1:34">
      <c r="A21" s="37" t="s">
        <v>28</v>
      </c>
      <c r="B21" s="41">
        <v>516</v>
      </c>
      <c r="C21" s="41">
        <v>555</v>
      </c>
      <c r="D21" s="41">
        <v>589</v>
      </c>
      <c r="E21" s="41">
        <v>627</v>
      </c>
      <c r="F21" s="41">
        <v>631</v>
      </c>
      <c r="G21" s="41">
        <v>574</v>
      </c>
      <c r="H21" s="41">
        <f>736+28</f>
        <v>764</v>
      </c>
      <c r="I21" s="41">
        <f>822+17</f>
        <v>839</v>
      </c>
      <c r="J21" s="41">
        <v>737</v>
      </c>
      <c r="K21" s="41">
        <v>798</v>
      </c>
      <c r="L21" s="41">
        <v>798</v>
      </c>
      <c r="M21" s="41">
        <v>874</v>
      </c>
      <c r="N21" s="41">
        <v>853</v>
      </c>
      <c r="O21" s="41">
        <v>904</v>
      </c>
      <c r="P21" s="41">
        <v>904</v>
      </c>
      <c r="Q21" s="41">
        <v>896</v>
      </c>
      <c r="R21" s="41">
        <v>876</v>
      </c>
      <c r="S21" s="41">
        <v>943</v>
      </c>
      <c r="T21" s="41">
        <v>1149</v>
      </c>
      <c r="U21" s="41">
        <v>1187</v>
      </c>
      <c r="V21" s="41">
        <v>1222</v>
      </c>
      <c r="W21" s="41">
        <v>1112</v>
      </c>
      <c r="X21" s="41">
        <v>1134</v>
      </c>
      <c r="Y21" s="41">
        <v>1380</v>
      </c>
      <c r="Z21" s="1">
        <v>1648</v>
      </c>
      <c r="AA21" s="1">
        <v>1438</v>
      </c>
      <c r="AB21" s="1">
        <v>1506</v>
      </c>
      <c r="AC21" s="1">
        <v>1705</v>
      </c>
      <c r="AD21" s="1">
        <v>1622</v>
      </c>
      <c r="AE21" s="1">
        <v>1649</v>
      </c>
      <c r="AF21" s="1">
        <v>1753</v>
      </c>
      <c r="AG21" s="1">
        <v>1726</v>
      </c>
      <c r="AH21" s="1">
        <v>1691</v>
      </c>
    </row>
    <row r="22" spans="1:34" s="6" customFormat="1">
      <c r="A22" s="42" t="s">
        <v>29</v>
      </c>
      <c r="B22" s="43">
        <v>121</v>
      </c>
      <c r="C22" s="43">
        <v>115</v>
      </c>
      <c r="D22" s="43">
        <v>107</v>
      </c>
      <c r="E22" s="43">
        <v>128</v>
      </c>
      <c r="F22" s="43">
        <v>115</v>
      </c>
      <c r="G22" s="43">
        <v>89</v>
      </c>
      <c r="H22" s="43">
        <f>112+0</f>
        <v>112</v>
      </c>
      <c r="I22" s="43">
        <f>129+0</f>
        <v>129</v>
      </c>
      <c r="J22" s="43">
        <v>83</v>
      </c>
      <c r="K22" s="43">
        <v>87</v>
      </c>
      <c r="L22" s="43">
        <v>90</v>
      </c>
      <c r="M22" s="43">
        <v>110</v>
      </c>
      <c r="N22" s="43">
        <v>82</v>
      </c>
      <c r="O22" s="43">
        <v>100</v>
      </c>
      <c r="P22" s="43">
        <v>118</v>
      </c>
      <c r="Q22" s="43">
        <v>90</v>
      </c>
      <c r="R22" s="43">
        <v>113</v>
      </c>
      <c r="S22" s="43">
        <v>117</v>
      </c>
      <c r="T22" s="43">
        <v>141</v>
      </c>
      <c r="U22" s="43">
        <v>121</v>
      </c>
      <c r="V22" s="43">
        <v>149</v>
      </c>
      <c r="W22" s="43">
        <v>150</v>
      </c>
      <c r="X22" s="43">
        <v>141</v>
      </c>
      <c r="Y22" s="43">
        <v>100</v>
      </c>
      <c r="Z22" s="6">
        <v>115</v>
      </c>
      <c r="AA22" s="6">
        <v>122</v>
      </c>
      <c r="AB22" s="6">
        <v>108</v>
      </c>
      <c r="AC22" s="6">
        <v>109</v>
      </c>
      <c r="AD22" s="6">
        <v>146</v>
      </c>
      <c r="AE22" s="6">
        <v>138</v>
      </c>
      <c r="AF22" s="6">
        <v>163</v>
      </c>
      <c r="AG22" s="6">
        <v>131</v>
      </c>
      <c r="AH22" s="6">
        <v>152</v>
      </c>
    </row>
    <row r="23" spans="1:34">
      <c r="A23" s="37" t="s">
        <v>210</v>
      </c>
      <c r="B23" s="38">
        <f t="shared" ref="B23:X23" si="12">SUM(B25:B37)</f>
        <v>0</v>
      </c>
      <c r="C23" s="38">
        <f t="shared" si="12"/>
        <v>0</v>
      </c>
      <c r="D23" s="38">
        <f t="shared" si="12"/>
        <v>0</v>
      </c>
      <c r="E23" s="38">
        <f t="shared" si="12"/>
        <v>0</v>
      </c>
      <c r="F23" s="38">
        <f t="shared" si="12"/>
        <v>0</v>
      </c>
      <c r="G23" s="38">
        <f t="shared" si="12"/>
        <v>5306</v>
      </c>
      <c r="H23" s="38">
        <f t="shared" si="12"/>
        <v>0</v>
      </c>
      <c r="I23" s="38">
        <f t="shared" si="12"/>
        <v>0</v>
      </c>
      <c r="J23" s="38">
        <f t="shared" si="12"/>
        <v>5809</v>
      </c>
      <c r="K23" s="38">
        <f t="shared" si="12"/>
        <v>6013</v>
      </c>
      <c r="L23" s="38">
        <f t="shared" si="12"/>
        <v>6320</v>
      </c>
      <c r="M23" s="38">
        <f t="shared" si="12"/>
        <v>6770</v>
      </c>
      <c r="N23" s="38">
        <f t="shared" si="12"/>
        <v>6585</v>
      </c>
      <c r="O23" s="38">
        <f t="shared" si="12"/>
        <v>7274</v>
      </c>
      <c r="P23" s="38">
        <f t="shared" si="12"/>
        <v>7065</v>
      </c>
      <c r="Q23" s="38">
        <f t="shared" si="12"/>
        <v>7074</v>
      </c>
      <c r="R23" s="38">
        <f t="shared" si="12"/>
        <v>6857</v>
      </c>
      <c r="S23" s="38">
        <f t="shared" si="12"/>
        <v>7043</v>
      </c>
      <c r="T23" s="38">
        <f t="shared" si="12"/>
        <v>7452</v>
      </c>
      <c r="U23" s="38">
        <f t="shared" si="12"/>
        <v>7701</v>
      </c>
      <c r="V23" s="38">
        <f t="shared" si="12"/>
        <v>8178</v>
      </c>
      <c r="W23" s="38">
        <f t="shared" si="12"/>
        <v>8541</v>
      </c>
      <c r="X23" s="38">
        <f t="shared" si="12"/>
        <v>8929</v>
      </c>
      <c r="Y23" s="38">
        <f t="shared" ref="Y23:Z23" si="13">SUM(Y25:Y37)</f>
        <v>8316</v>
      </c>
      <c r="Z23" s="38">
        <f t="shared" si="13"/>
        <v>8200</v>
      </c>
      <c r="AA23" s="38">
        <f t="shared" ref="AA23:AB23" si="14">SUM(AA25:AA37)</f>
        <v>9069</v>
      </c>
      <c r="AB23" s="38">
        <f t="shared" si="14"/>
        <v>9579</v>
      </c>
      <c r="AC23" s="38">
        <f t="shared" ref="AC23:AH23" si="15">SUM(AC25:AC37)</f>
        <v>9456</v>
      </c>
      <c r="AD23" s="38">
        <f t="shared" si="15"/>
        <v>9932</v>
      </c>
      <c r="AE23" s="38">
        <f t="shared" si="15"/>
        <v>9668</v>
      </c>
      <c r="AF23" s="38">
        <f t="shared" si="15"/>
        <v>9651</v>
      </c>
      <c r="AG23" s="38">
        <f t="shared" si="15"/>
        <v>9998</v>
      </c>
      <c r="AH23" s="38">
        <f t="shared" si="15"/>
        <v>10517</v>
      </c>
    </row>
    <row r="24" spans="1:34">
      <c r="A24" s="39" t="s">
        <v>213</v>
      </c>
      <c r="B24" s="40">
        <f t="shared" ref="B24:X24" si="16">(B23/B4)*100</f>
        <v>0</v>
      </c>
      <c r="C24" s="40">
        <f t="shared" si="16"/>
        <v>0</v>
      </c>
      <c r="D24" s="40">
        <f t="shared" si="16"/>
        <v>0</v>
      </c>
      <c r="E24" s="40">
        <f t="shared" si="16"/>
        <v>0</v>
      </c>
      <c r="F24" s="40">
        <f t="shared" si="16"/>
        <v>0</v>
      </c>
      <c r="G24" s="40">
        <f t="shared" si="16"/>
        <v>20.214103394415027</v>
      </c>
      <c r="H24" s="40">
        <f t="shared" si="16"/>
        <v>0</v>
      </c>
      <c r="I24" s="40">
        <f t="shared" si="16"/>
        <v>0</v>
      </c>
      <c r="J24" s="40">
        <f t="shared" si="16"/>
        <v>20.05593150117387</v>
      </c>
      <c r="K24" s="40">
        <f t="shared" si="16"/>
        <v>20.228763666947014</v>
      </c>
      <c r="L24" s="40">
        <f t="shared" si="16"/>
        <v>20.789473684210527</v>
      </c>
      <c r="M24" s="40">
        <f t="shared" si="16"/>
        <v>21.265902308779644</v>
      </c>
      <c r="N24" s="40">
        <f t="shared" si="16"/>
        <v>20.919372259991103</v>
      </c>
      <c r="O24" s="40">
        <f t="shared" si="16"/>
        <v>22.244648318042813</v>
      </c>
      <c r="P24" s="40">
        <f t="shared" si="16"/>
        <v>21.364419849405788</v>
      </c>
      <c r="Q24" s="40">
        <f t="shared" si="16"/>
        <v>21.892117723516851</v>
      </c>
      <c r="R24" s="40">
        <f t="shared" si="16"/>
        <v>21.346740551646846</v>
      </c>
      <c r="S24" s="40">
        <f t="shared" si="16"/>
        <v>21.116541240668006</v>
      </c>
      <c r="T24" s="40">
        <f t="shared" si="16"/>
        <v>20.916133378241835</v>
      </c>
      <c r="U24" s="40">
        <f t="shared" si="16"/>
        <v>20.94541300622841</v>
      </c>
      <c r="V24" s="40">
        <f t="shared" si="16"/>
        <v>20.362531746426971</v>
      </c>
      <c r="W24" s="40">
        <f t="shared" si="16"/>
        <v>21.19407429464751</v>
      </c>
      <c r="X24" s="40">
        <f t="shared" si="16"/>
        <v>21.89231599078115</v>
      </c>
      <c r="Y24" s="40">
        <f t="shared" ref="Y24:Z24" si="17">(Y23/Y4)*100</f>
        <v>22.119374401532077</v>
      </c>
      <c r="Z24" s="40">
        <f t="shared" si="17"/>
        <v>21.483965625654999</v>
      </c>
      <c r="AA24" s="40">
        <f t="shared" ref="AA24:AB24" si="18">(AA23/AA4)*100</f>
        <v>22.897467619360214</v>
      </c>
      <c r="AB24" s="40">
        <f t="shared" si="18"/>
        <v>23.309972258723903</v>
      </c>
      <c r="AC24" s="40">
        <f t="shared" ref="AC24:AH24" si="19">(AC23/AC4)*100</f>
        <v>22.287694157022649</v>
      </c>
      <c r="AD24" s="40">
        <f t="shared" si="19"/>
        <v>22.664932338376577</v>
      </c>
      <c r="AE24" s="40">
        <f t="shared" si="19"/>
        <v>21.999726937605242</v>
      </c>
      <c r="AF24" s="40">
        <f t="shared" si="19"/>
        <v>21.502573357395896</v>
      </c>
      <c r="AG24" s="40">
        <f t="shared" si="19"/>
        <v>22.076975732550181</v>
      </c>
      <c r="AH24" s="40">
        <f t="shared" si="19"/>
        <v>22.82780925093877</v>
      </c>
    </row>
    <row r="25" spans="1:34">
      <c r="A25" s="37" t="s">
        <v>125</v>
      </c>
      <c r="B25" s="41"/>
      <c r="C25" s="41"/>
      <c r="D25" s="41"/>
      <c r="E25" s="41"/>
      <c r="F25" s="41"/>
      <c r="G25" s="41">
        <v>6</v>
      </c>
      <c r="H25" s="41"/>
      <c r="I25" s="41"/>
      <c r="J25" s="41">
        <v>7</v>
      </c>
      <c r="K25" s="41">
        <v>7</v>
      </c>
      <c r="L25" s="41">
        <v>10</v>
      </c>
      <c r="M25" s="41">
        <v>9</v>
      </c>
      <c r="N25" s="41">
        <v>18</v>
      </c>
      <c r="O25" s="41">
        <v>9</v>
      </c>
      <c r="P25" s="41">
        <v>54</v>
      </c>
      <c r="Q25" s="41">
        <v>16</v>
      </c>
      <c r="R25" s="41">
        <v>24</v>
      </c>
      <c r="S25" s="41">
        <v>16</v>
      </c>
      <c r="T25" s="41">
        <v>14</v>
      </c>
      <c r="U25" s="41">
        <v>14</v>
      </c>
      <c r="V25" s="41">
        <v>23</v>
      </c>
      <c r="W25" s="41">
        <v>19</v>
      </c>
      <c r="X25" s="41">
        <v>30</v>
      </c>
      <c r="Y25" s="41">
        <v>36</v>
      </c>
      <c r="Z25" s="1">
        <v>39</v>
      </c>
      <c r="AA25" s="1">
        <v>42</v>
      </c>
      <c r="AB25" s="1">
        <v>41</v>
      </c>
      <c r="AC25" s="1">
        <v>35</v>
      </c>
      <c r="AD25" s="1">
        <v>28</v>
      </c>
      <c r="AE25" s="1">
        <v>35</v>
      </c>
      <c r="AF25" s="1">
        <v>41</v>
      </c>
      <c r="AG25" s="1">
        <v>34</v>
      </c>
      <c r="AH25" s="1">
        <v>26</v>
      </c>
    </row>
    <row r="26" spans="1:34">
      <c r="A26" s="37" t="s">
        <v>126</v>
      </c>
      <c r="B26" s="41"/>
      <c r="C26" s="41"/>
      <c r="D26" s="41"/>
      <c r="E26" s="41"/>
      <c r="F26" s="41"/>
      <c r="G26" s="41">
        <v>380</v>
      </c>
      <c r="H26" s="41"/>
      <c r="I26" s="41"/>
      <c r="J26" s="41">
        <v>440</v>
      </c>
      <c r="K26" s="41">
        <v>512</v>
      </c>
      <c r="L26" s="41">
        <v>549</v>
      </c>
      <c r="M26" s="41">
        <v>603</v>
      </c>
      <c r="N26" s="41">
        <v>542</v>
      </c>
      <c r="O26" s="41">
        <v>566</v>
      </c>
      <c r="P26" s="41">
        <v>598</v>
      </c>
      <c r="Q26" s="41">
        <v>565</v>
      </c>
      <c r="R26" s="41">
        <v>597</v>
      </c>
      <c r="S26" s="41">
        <v>633</v>
      </c>
      <c r="T26" s="41">
        <v>658</v>
      </c>
      <c r="U26" s="41">
        <v>597</v>
      </c>
      <c r="V26" s="41">
        <v>731</v>
      </c>
      <c r="W26" s="41">
        <v>932</v>
      </c>
      <c r="X26" s="41">
        <v>1161</v>
      </c>
      <c r="Y26" s="41">
        <v>1190</v>
      </c>
      <c r="Z26" s="1">
        <v>703</v>
      </c>
      <c r="AA26" s="1">
        <v>1132</v>
      </c>
      <c r="AB26" s="1">
        <v>1143</v>
      </c>
      <c r="AC26" s="1">
        <v>1154</v>
      </c>
      <c r="AD26" s="1">
        <v>1224</v>
      </c>
      <c r="AE26" s="1">
        <v>1222</v>
      </c>
      <c r="AF26" s="1">
        <v>1197</v>
      </c>
      <c r="AG26" s="1">
        <v>1347</v>
      </c>
      <c r="AH26" s="1">
        <v>1539</v>
      </c>
    </row>
    <row r="27" spans="1:34">
      <c r="A27" s="37" t="s">
        <v>127</v>
      </c>
      <c r="B27" s="41"/>
      <c r="C27" s="41"/>
      <c r="D27" s="41"/>
      <c r="E27" s="41"/>
      <c r="F27" s="41"/>
      <c r="G27" s="41">
        <v>3115</v>
      </c>
      <c r="H27" s="41"/>
      <c r="I27" s="41"/>
      <c r="J27" s="41">
        <v>3416</v>
      </c>
      <c r="K27" s="41">
        <v>3563</v>
      </c>
      <c r="L27" s="41">
        <v>3641</v>
      </c>
      <c r="M27" s="41">
        <v>3983</v>
      </c>
      <c r="N27" s="41">
        <v>3741</v>
      </c>
      <c r="O27" s="41">
        <v>4270</v>
      </c>
      <c r="P27" s="41">
        <v>4073</v>
      </c>
      <c r="Q27" s="41">
        <v>4147</v>
      </c>
      <c r="R27" s="41">
        <v>3985</v>
      </c>
      <c r="S27" s="41">
        <v>4155</v>
      </c>
      <c r="T27" s="41">
        <v>4176</v>
      </c>
      <c r="U27" s="41">
        <v>4363</v>
      </c>
      <c r="V27" s="41">
        <v>4562</v>
      </c>
      <c r="W27" s="41">
        <v>4738</v>
      </c>
      <c r="X27" s="41">
        <v>4705</v>
      </c>
      <c r="Y27" s="41">
        <v>4496</v>
      </c>
      <c r="Z27" s="1">
        <v>4655</v>
      </c>
      <c r="AA27" s="1">
        <v>4832</v>
      </c>
      <c r="AB27" s="1">
        <v>5198</v>
      </c>
      <c r="AC27" s="1">
        <v>5168</v>
      </c>
      <c r="AD27" s="1">
        <v>5403</v>
      </c>
      <c r="AE27" s="1">
        <v>5129</v>
      </c>
      <c r="AF27" s="1">
        <v>5167</v>
      </c>
      <c r="AG27" s="1">
        <v>5173</v>
      </c>
      <c r="AH27" s="1">
        <v>5460</v>
      </c>
    </row>
    <row r="28" spans="1:34">
      <c r="A28" s="37" t="s">
        <v>128</v>
      </c>
      <c r="B28" s="41"/>
      <c r="C28" s="41"/>
      <c r="D28" s="41"/>
      <c r="E28" s="41"/>
      <c r="F28" s="41"/>
      <c r="G28" s="41">
        <v>508</v>
      </c>
      <c r="H28" s="41"/>
      <c r="I28" s="41"/>
      <c r="J28" s="41">
        <v>532</v>
      </c>
      <c r="K28" s="41">
        <v>531</v>
      </c>
      <c r="L28" s="41">
        <v>553</v>
      </c>
      <c r="M28" s="41">
        <v>582</v>
      </c>
      <c r="N28" s="41">
        <v>651</v>
      </c>
      <c r="O28" s="41">
        <v>692</v>
      </c>
      <c r="P28" s="41">
        <v>678</v>
      </c>
      <c r="Q28" s="41">
        <v>640</v>
      </c>
      <c r="R28" s="41">
        <v>592</v>
      </c>
      <c r="S28" s="41">
        <v>597</v>
      </c>
      <c r="T28" s="41">
        <v>844</v>
      </c>
      <c r="U28" s="41">
        <v>758</v>
      </c>
      <c r="V28" s="41">
        <v>790</v>
      </c>
      <c r="W28" s="41">
        <v>738</v>
      </c>
      <c r="X28" s="41">
        <v>891</v>
      </c>
      <c r="Y28" s="41">
        <v>697</v>
      </c>
      <c r="Z28" s="1">
        <v>744</v>
      </c>
      <c r="AA28" s="1">
        <v>753</v>
      </c>
      <c r="AB28" s="1">
        <v>844</v>
      </c>
      <c r="AC28" s="1">
        <v>878</v>
      </c>
      <c r="AD28" s="1">
        <v>873</v>
      </c>
      <c r="AE28" s="1">
        <v>910</v>
      </c>
      <c r="AF28" s="1">
        <v>848</v>
      </c>
      <c r="AG28" s="1">
        <v>860</v>
      </c>
      <c r="AH28" s="1">
        <v>881</v>
      </c>
    </row>
    <row r="29" spans="1:34">
      <c r="A29" s="37" t="s">
        <v>131</v>
      </c>
      <c r="B29" s="41"/>
      <c r="C29" s="41"/>
      <c r="D29" s="41"/>
      <c r="E29" s="41"/>
      <c r="F29" s="41"/>
      <c r="G29" s="41">
        <v>12</v>
      </c>
      <c r="H29" s="41"/>
      <c r="I29" s="41"/>
      <c r="J29" s="41">
        <v>136</v>
      </c>
      <c r="K29" s="41">
        <v>145</v>
      </c>
      <c r="L29" s="41">
        <v>164</v>
      </c>
      <c r="M29" s="41">
        <v>158</v>
      </c>
      <c r="N29" s="41">
        <v>196</v>
      </c>
      <c r="O29" s="41">
        <v>185</v>
      </c>
      <c r="P29" s="41">
        <v>168</v>
      </c>
      <c r="Q29" s="41">
        <v>160</v>
      </c>
      <c r="R29" s="41">
        <v>139</v>
      </c>
      <c r="S29" s="41">
        <v>122</v>
      </c>
      <c r="T29" s="41">
        <v>164</v>
      </c>
      <c r="U29" s="41">
        <v>168</v>
      </c>
      <c r="V29" s="41">
        <v>126</v>
      </c>
      <c r="W29" s="41">
        <v>150</v>
      </c>
      <c r="X29" s="41">
        <v>138</v>
      </c>
      <c r="Y29" s="41">
        <v>120</v>
      </c>
      <c r="Z29" s="1">
        <v>187</v>
      </c>
      <c r="AA29" s="1">
        <v>135</v>
      </c>
      <c r="AB29" s="1">
        <v>174</v>
      </c>
      <c r="AC29" s="1">
        <v>143</v>
      </c>
      <c r="AD29" s="1">
        <v>189</v>
      </c>
      <c r="AE29" s="1">
        <v>173</v>
      </c>
      <c r="AF29" s="1">
        <v>148</v>
      </c>
      <c r="AG29" s="1">
        <v>145</v>
      </c>
      <c r="AH29" s="1">
        <v>140</v>
      </c>
    </row>
    <row r="30" spans="1:34">
      <c r="A30" s="37" t="s">
        <v>133</v>
      </c>
      <c r="B30" s="41"/>
      <c r="C30" s="41"/>
      <c r="D30" s="41"/>
      <c r="E30" s="41"/>
      <c r="F30" s="41"/>
      <c r="G30" s="41">
        <v>37</v>
      </c>
      <c r="H30" s="41"/>
      <c r="I30" s="41"/>
      <c r="J30" s="41">
        <v>59</v>
      </c>
      <c r="K30" s="41">
        <v>35</v>
      </c>
      <c r="L30" s="41">
        <v>58</v>
      </c>
      <c r="M30" s="41">
        <v>55</v>
      </c>
      <c r="N30" s="41">
        <v>68</v>
      </c>
      <c r="O30" s="41">
        <v>66</v>
      </c>
      <c r="P30" s="41">
        <v>75</v>
      </c>
      <c r="Q30" s="41">
        <v>80</v>
      </c>
      <c r="R30" s="41">
        <v>100</v>
      </c>
      <c r="S30" s="41">
        <v>71</v>
      </c>
      <c r="T30" s="41">
        <v>94</v>
      </c>
      <c r="U30" s="41">
        <v>111</v>
      </c>
      <c r="V30" s="41">
        <v>120</v>
      </c>
      <c r="W30" s="41">
        <v>125</v>
      </c>
      <c r="X30" s="41">
        <v>119</v>
      </c>
      <c r="Y30" s="41">
        <v>75</v>
      </c>
      <c r="Z30" s="1">
        <v>80</v>
      </c>
      <c r="AA30" s="1">
        <v>73</v>
      </c>
      <c r="AB30" s="1">
        <v>113</v>
      </c>
      <c r="AC30" s="1">
        <v>107</v>
      </c>
      <c r="AD30" s="1">
        <v>94</v>
      </c>
      <c r="AE30" s="1">
        <v>118</v>
      </c>
      <c r="AF30" s="1">
        <v>111</v>
      </c>
      <c r="AG30" s="1">
        <v>106</v>
      </c>
      <c r="AH30" s="1">
        <v>118</v>
      </c>
    </row>
    <row r="31" spans="1:34">
      <c r="A31" s="37" t="s">
        <v>142</v>
      </c>
      <c r="B31" s="41"/>
      <c r="C31" s="41"/>
      <c r="D31" s="41"/>
      <c r="E31" s="41"/>
      <c r="F31" s="41"/>
      <c r="G31" s="41">
        <v>39</v>
      </c>
      <c r="H31" s="41"/>
      <c r="I31" s="41"/>
      <c r="J31" s="41">
        <v>37</v>
      </c>
      <c r="K31" s="41">
        <v>34</v>
      </c>
      <c r="L31" s="41">
        <v>37</v>
      </c>
      <c r="M31" s="41">
        <v>49</v>
      </c>
      <c r="N31" s="41">
        <v>48</v>
      </c>
      <c r="O31" s="41">
        <v>65</v>
      </c>
      <c r="P31" s="41">
        <v>76</v>
      </c>
      <c r="Q31" s="41">
        <v>55</v>
      </c>
      <c r="R31" s="41">
        <v>62</v>
      </c>
      <c r="S31" s="41">
        <v>65</v>
      </c>
      <c r="T31" s="41">
        <v>93</v>
      </c>
      <c r="U31" s="41">
        <v>93</v>
      </c>
      <c r="V31" s="41">
        <v>114</v>
      </c>
      <c r="W31" s="41">
        <v>99</v>
      </c>
      <c r="X31" s="41">
        <v>104</v>
      </c>
      <c r="Y31" s="41">
        <v>68</v>
      </c>
      <c r="Z31" s="1">
        <v>83</v>
      </c>
      <c r="AA31" s="1">
        <v>89</v>
      </c>
      <c r="AB31" s="1">
        <v>87</v>
      </c>
      <c r="AC31" s="1">
        <v>94</v>
      </c>
      <c r="AD31" s="1">
        <v>113</v>
      </c>
      <c r="AE31" s="1">
        <v>99</v>
      </c>
      <c r="AF31" s="1">
        <v>103</v>
      </c>
      <c r="AG31" s="1">
        <v>94</v>
      </c>
      <c r="AH31" s="1">
        <v>97</v>
      </c>
    </row>
    <row r="32" spans="1:34">
      <c r="A32" s="37" t="s">
        <v>148</v>
      </c>
      <c r="B32" s="41"/>
      <c r="C32" s="41"/>
      <c r="D32" s="41"/>
      <c r="E32" s="41"/>
      <c r="F32" s="41"/>
      <c r="G32" s="41">
        <v>29</v>
      </c>
      <c r="H32" s="41"/>
      <c r="I32" s="41"/>
      <c r="J32" s="41">
        <v>34</v>
      </c>
      <c r="K32" s="41">
        <v>24</v>
      </c>
      <c r="L32" s="41">
        <v>43</v>
      </c>
      <c r="M32" s="41">
        <v>60</v>
      </c>
      <c r="N32" s="41">
        <v>62</v>
      </c>
      <c r="O32" s="41">
        <v>65</v>
      </c>
      <c r="P32" s="41">
        <v>66</v>
      </c>
      <c r="Q32" s="41">
        <v>96</v>
      </c>
      <c r="R32" s="41">
        <v>98</v>
      </c>
      <c r="S32" s="41">
        <v>87</v>
      </c>
      <c r="T32" s="41">
        <v>77</v>
      </c>
      <c r="U32" s="41">
        <v>105</v>
      </c>
      <c r="V32" s="41">
        <v>116</v>
      </c>
      <c r="W32" s="41">
        <v>125</v>
      </c>
      <c r="X32" s="41">
        <v>183</v>
      </c>
      <c r="Y32" s="41">
        <v>183</v>
      </c>
      <c r="Z32" s="1">
        <v>191</v>
      </c>
      <c r="AA32" s="1">
        <v>212</v>
      </c>
      <c r="AB32" s="1">
        <v>217</v>
      </c>
      <c r="AC32" s="1">
        <v>181</v>
      </c>
      <c r="AD32" s="1">
        <v>195</v>
      </c>
      <c r="AE32" s="1">
        <v>229</v>
      </c>
      <c r="AF32" s="1">
        <v>208</v>
      </c>
      <c r="AG32" s="1">
        <v>222</v>
      </c>
      <c r="AH32" s="1">
        <v>216</v>
      </c>
    </row>
    <row r="33" spans="1:34">
      <c r="A33" s="37" t="s">
        <v>147</v>
      </c>
      <c r="B33" s="41"/>
      <c r="C33" s="41"/>
      <c r="D33" s="41"/>
      <c r="E33" s="41"/>
      <c r="F33" s="41"/>
      <c r="G33" s="41">
        <v>165</v>
      </c>
      <c r="H33" s="41"/>
      <c r="I33" s="41"/>
      <c r="J33" s="41">
        <v>171</v>
      </c>
      <c r="K33" s="41">
        <v>190</v>
      </c>
      <c r="L33" s="41">
        <v>220</v>
      </c>
      <c r="M33" s="41">
        <v>219</v>
      </c>
      <c r="N33" s="41">
        <v>242</v>
      </c>
      <c r="O33" s="41">
        <v>216</v>
      </c>
      <c r="P33" s="41">
        <v>217</v>
      </c>
      <c r="Q33" s="41">
        <v>219</v>
      </c>
      <c r="R33" s="41">
        <v>163</v>
      </c>
      <c r="S33" s="41">
        <v>192</v>
      </c>
      <c r="T33" s="41">
        <v>208</v>
      </c>
      <c r="U33" s="41">
        <v>161</v>
      </c>
      <c r="V33" s="41">
        <v>191</v>
      </c>
      <c r="W33" s="41">
        <v>160</v>
      </c>
      <c r="X33" s="41">
        <v>191</v>
      </c>
      <c r="Y33" s="41">
        <v>174</v>
      </c>
      <c r="Z33" s="1">
        <v>185</v>
      </c>
      <c r="AA33" s="1">
        <v>210</v>
      </c>
      <c r="AB33" s="1">
        <v>228</v>
      </c>
      <c r="AC33" s="1">
        <v>227</v>
      </c>
      <c r="AD33" s="1">
        <v>249</v>
      </c>
      <c r="AE33" s="1">
        <v>217</v>
      </c>
      <c r="AF33" s="1">
        <v>193</v>
      </c>
      <c r="AG33" s="1">
        <v>223</v>
      </c>
      <c r="AH33" s="1">
        <v>229</v>
      </c>
    </row>
    <row r="34" spans="1:34">
      <c r="A34" s="37" t="s">
        <v>151</v>
      </c>
      <c r="B34" s="41"/>
      <c r="C34" s="41"/>
      <c r="D34" s="41"/>
      <c r="E34" s="41"/>
      <c r="F34" s="41"/>
      <c r="G34" s="41">
        <v>252</v>
      </c>
      <c r="H34" s="41"/>
      <c r="I34" s="41"/>
      <c r="J34" s="41">
        <v>299</v>
      </c>
      <c r="K34" s="41">
        <v>304</v>
      </c>
      <c r="L34" s="41">
        <v>307</v>
      </c>
      <c r="M34" s="41">
        <v>312</v>
      </c>
      <c r="N34" s="41">
        <v>264</v>
      </c>
      <c r="O34" s="41">
        <v>317</v>
      </c>
      <c r="P34" s="41">
        <v>291</v>
      </c>
      <c r="Q34" s="41">
        <v>309</v>
      </c>
      <c r="R34" s="41">
        <v>350</v>
      </c>
      <c r="S34" s="41">
        <v>345</v>
      </c>
      <c r="T34" s="41">
        <v>347</v>
      </c>
      <c r="U34" s="41">
        <v>426</v>
      </c>
      <c r="V34" s="41">
        <v>389</v>
      </c>
      <c r="W34" s="41">
        <v>439</v>
      </c>
      <c r="X34" s="41">
        <v>429</v>
      </c>
      <c r="Y34" s="41">
        <v>310</v>
      </c>
      <c r="Z34" s="1">
        <v>304</v>
      </c>
      <c r="AA34" s="1">
        <v>355</v>
      </c>
      <c r="AB34" s="1">
        <v>343</v>
      </c>
      <c r="AC34" s="1">
        <v>365</v>
      </c>
      <c r="AD34" s="1">
        <v>394</v>
      </c>
      <c r="AE34" s="1">
        <v>407</v>
      </c>
      <c r="AF34" s="1">
        <v>489</v>
      </c>
      <c r="AG34" s="1">
        <v>604</v>
      </c>
      <c r="AH34" s="1">
        <v>593</v>
      </c>
    </row>
    <row r="35" spans="1:34">
      <c r="A35" s="37" t="s">
        <v>155</v>
      </c>
      <c r="B35" s="41"/>
      <c r="C35" s="41"/>
      <c r="D35" s="41"/>
      <c r="E35" s="41"/>
      <c r="F35" s="41"/>
      <c r="G35" s="41">
        <v>268</v>
      </c>
      <c r="H35" s="41"/>
      <c r="I35" s="41"/>
      <c r="J35" s="41">
        <v>193</v>
      </c>
      <c r="K35" s="41">
        <v>182</v>
      </c>
      <c r="L35" s="41">
        <v>172</v>
      </c>
      <c r="M35" s="41">
        <v>197</v>
      </c>
      <c r="N35" s="41">
        <v>197</v>
      </c>
      <c r="O35" s="41">
        <v>217</v>
      </c>
      <c r="P35" s="41">
        <v>202</v>
      </c>
      <c r="Q35" s="41">
        <v>245</v>
      </c>
      <c r="R35" s="41">
        <v>240</v>
      </c>
      <c r="S35" s="41">
        <v>242</v>
      </c>
      <c r="T35" s="41">
        <v>228</v>
      </c>
      <c r="U35" s="41">
        <v>279</v>
      </c>
      <c r="V35" s="41">
        <v>359</v>
      </c>
      <c r="W35" s="41">
        <v>391</v>
      </c>
      <c r="X35" s="41">
        <v>301</v>
      </c>
      <c r="Y35" s="41">
        <v>287</v>
      </c>
      <c r="Z35" s="1">
        <v>327</v>
      </c>
      <c r="AA35" s="1">
        <v>430</v>
      </c>
      <c r="AB35" s="1">
        <v>396</v>
      </c>
      <c r="AC35" s="1">
        <v>411</v>
      </c>
      <c r="AD35" s="1">
        <v>433</v>
      </c>
      <c r="AE35" s="1">
        <v>398</v>
      </c>
      <c r="AF35" s="1">
        <v>384</v>
      </c>
      <c r="AG35" s="1">
        <v>424</v>
      </c>
      <c r="AH35" s="1">
        <v>446</v>
      </c>
    </row>
    <row r="36" spans="1:34">
      <c r="A36" s="37" t="s">
        <v>67</v>
      </c>
      <c r="B36" s="41"/>
      <c r="C36" s="41"/>
      <c r="D36" s="41"/>
      <c r="E36" s="41"/>
      <c r="F36" s="41"/>
      <c r="G36" s="41">
        <v>495</v>
      </c>
      <c r="H36" s="41"/>
      <c r="I36" s="41"/>
      <c r="J36" s="41">
        <v>452</v>
      </c>
      <c r="K36" s="41">
        <v>453</v>
      </c>
      <c r="L36" s="41">
        <v>514</v>
      </c>
      <c r="M36" s="41">
        <v>501</v>
      </c>
      <c r="N36" s="41">
        <v>500</v>
      </c>
      <c r="O36" s="41">
        <v>559</v>
      </c>
      <c r="P36" s="41">
        <v>523</v>
      </c>
      <c r="Q36" s="41">
        <v>489</v>
      </c>
      <c r="R36" s="41">
        <v>459</v>
      </c>
      <c r="S36" s="41">
        <v>483</v>
      </c>
      <c r="T36" s="41">
        <v>515</v>
      </c>
      <c r="U36" s="41">
        <v>589</v>
      </c>
      <c r="V36" s="41">
        <v>629</v>
      </c>
      <c r="W36" s="41">
        <v>584</v>
      </c>
      <c r="X36" s="41">
        <v>640</v>
      </c>
      <c r="Y36" s="41">
        <v>638</v>
      </c>
      <c r="Z36" s="1">
        <v>674</v>
      </c>
      <c r="AA36" s="1">
        <v>765</v>
      </c>
      <c r="AB36" s="1">
        <v>756</v>
      </c>
      <c r="AC36" s="1">
        <v>645</v>
      </c>
      <c r="AD36" s="1">
        <v>681</v>
      </c>
      <c r="AE36" s="1">
        <v>684</v>
      </c>
      <c r="AF36" s="1">
        <v>701</v>
      </c>
      <c r="AG36" s="1">
        <v>717</v>
      </c>
      <c r="AH36" s="1">
        <v>712</v>
      </c>
    </row>
    <row r="37" spans="1:34">
      <c r="A37" s="42" t="s">
        <v>158</v>
      </c>
      <c r="B37" s="43"/>
      <c r="C37" s="43"/>
      <c r="D37" s="43"/>
      <c r="E37" s="43"/>
      <c r="F37" s="43"/>
      <c r="G37" s="43">
        <v>0</v>
      </c>
      <c r="H37" s="43"/>
      <c r="I37" s="43"/>
      <c r="J37" s="43">
        <v>33</v>
      </c>
      <c r="K37" s="43">
        <v>33</v>
      </c>
      <c r="L37" s="43">
        <v>52</v>
      </c>
      <c r="M37" s="43">
        <v>42</v>
      </c>
      <c r="N37" s="43">
        <v>56</v>
      </c>
      <c r="O37" s="43">
        <v>47</v>
      </c>
      <c r="P37" s="43">
        <v>44</v>
      </c>
      <c r="Q37" s="43">
        <v>53</v>
      </c>
      <c r="R37" s="43">
        <v>48</v>
      </c>
      <c r="S37" s="43">
        <v>35</v>
      </c>
      <c r="T37" s="43">
        <v>34</v>
      </c>
      <c r="U37" s="43">
        <v>37</v>
      </c>
      <c r="V37" s="43">
        <v>28</v>
      </c>
      <c r="W37" s="43">
        <v>41</v>
      </c>
      <c r="X37" s="43">
        <v>37</v>
      </c>
      <c r="Y37" s="43">
        <v>42</v>
      </c>
      <c r="Z37" s="1">
        <v>28</v>
      </c>
      <c r="AA37" s="6">
        <v>41</v>
      </c>
      <c r="AB37" s="1">
        <v>39</v>
      </c>
      <c r="AC37" s="1">
        <v>48</v>
      </c>
      <c r="AD37" s="1">
        <v>56</v>
      </c>
      <c r="AE37" s="1">
        <v>47</v>
      </c>
      <c r="AF37" s="1">
        <v>61</v>
      </c>
      <c r="AG37" s="1">
        <v>49</v>
      </c>
      <c r="AH37" s="1">
        <v>60</v>
      </c>
    </row>
    <row r="38" spans="1:34">
      <c r="A38" s="37" t="s">
        <v>211</v>
      </c>
      <c r="B38" s="38">
        <f t="shared" ref="B38:X38" si="20">SUM(B40:B51)</f>
        <v>0</v>
      </c>
      <c r="C38" s="38">
        <f t="shared" si="20"/>
        <v>0</v>
      </c>
      <c r="D38" s="38">
        <f t="shared" si="20"/>
        <v>0</v>
      </c>
      <c r="E38" s="38">
        <f t="shared" si="20"/>
        <v>0</v>
      </c>
      <c r="F38" s="38">
        <f t="shared" si="20"/>
        <v>0</v>
      </c>
      <c r="G38" s="38">
        <f t="shared" si="20"/>
        <v>7170</v>
      </c>
      <c r="H38" s="38">
        <f t="shared" si="20"/>
        <v>0</v>
      </c>
      <c r="I38" s="38">
        <f t="shared" si="20"/>
        <v>0</v>
      </c>
      <c r="J38" s="38">
        <f t="shared" si="20"/>
        <v>7512</v>
      </c>
      <c r="K38" s="38">
        <f t="shared" si="20"/>
        <v>7372</v>
      </c>
      <c r="L38" s="38">
        <f t="shared" si="20"/>
        <v>7875</v>
      </c>
      <c r="M38" s="38">
        <f t="shared" si="20"/>
        <v>8164</v>
      </c>
      <c r="N38" s="38">
        <f t="shared" si="20"/>
        <v>8207</v>
      </c>
      <c r="O38" s="38">
        <f t="shared" si="20"/>
        <v>8348</v>
      </c>
      <c r="P38" s="38">
        <f t="shared" si="20"/>
        <v>8552</v>
      </c>
      <c r="Q38" s="38">
        <f t="shared" si="20"/>
        <v>8063</v>
      </c>
      <c r="R38" s="38">
        <f t="shared" si="20"/>
        <v>8008</v>
      </c>
      <c r="S38" s="38">
        <f t="shared" si="20"/>
        <v>7990</v>
      </c>
      <c r="T38" s="38">
        <f t="shared" si="20"/>
        <v>8876</v>
      </c>
      <c r="U38" s="38">
        <f t="shared" si="20"/>
        <v>9307</v>
      </c>
      <c r="V38" s="38">
        <f t="shared" si="20"/>
        <v>10375</v>
      </c>
      <c r="W38" s="38">
        <f t="shared" si="20"/>
        <v>10271</v>
      </c>
      <c r="X38" s="38">
        <f t="shared" si="20"/>
        <v>9950</v>
      </c>
      <c r="Y38" s="38">
        <f t="shared" ref="Y38:Z38" si="21">SUM(Y40:Y51)</f>
        <v>9433</v>
      </c>
      <c r="Z38" s="38">
        <f t="shared" si="21"/>
        <v>9000</v>
      </c>
      <c r="AA38" s="38">
        <f t="shared" ref="AA38:AB38" si="22">SUM(AA40:AA51)</f>
        <v>8637</v>
      </c>
      <c r="AB38" s="38">
        <f t="shared" si="22"/>
        <v>9034</v>
      </c>
      <c r="AC38" s="38">
        <f t="shared" ref="AC38:AH38" si="23">SUM(AC40:AC51)</f>
        <v>9283</v>
      </c>
      <c r="AD38" s="38">
        <f t="shared" si="23"/>
        <v>9749</v>
      </c>
      <c r="AE38" s="38">
        <f t="shared" si="23"/>
        <v>9744</v>
      </c>
      <c r="AF38" s="38">
        <f t="shared" si="23"/>
        <v>9879</v>
      </c>
      <c r="AG38" s="38">
        <f t="shared" si="23"/>
        <v>9810</v>
      </c>
      <c r="AH38" s="38">
        <f t="shared" si="23"/>
        <v>9669</v>
      </c>
    </row>
    <row r="39" spans="1:34">
      <c r="A39" s="39" t="s">
        <v>213</v>
      </c>
      <c r="B39" s="40">
        <f t="shared" ref="B39:X39" si="24">(B38/B4)*100</f>
        <v>0</v>
      </c>
      <c r="C39" s="40">
        <f t="shared" si="24"/>
        <v>0</v>
      </c>
      <c r="D39" s="40">
        <f t="shared" si="24"/>
        <v>0</v>
      </c>
      <c r="E39" s="40">
        <f t="shared" si="24"/>
        <v>0</v>
      </c>
      <c r="F39" s="40">
        <f t="shared" si="24"/>
        <v>0</v>
      </c>
      <c r="G39" s="40">
        <f t="shared" si="24"/>
        <v>27.315326298144694</v>
      </c>
      <c r="H39" s="40">
        <f t="shared" si="24"/>
        <v>0</v>
      </c>
      <c r="I39" s="40">
        <f t="shared" si="24"/>
        <v>0</v>
      </c>
      <c r="J39" s="40">
        <f t="shared" si="24"/>
        <v>25.935644248032041</v>
      </c>
      <c r="K39" s="40">
        <f t="shared" si="24"/>
        <v>24.80067283431455</v>
      </c>
      <c r="L39" s="40">
        <f t="shared" si="24"/>
        <v>25.904605263157894</v>
      </c>
      <c r="M39" s="40">
        <f t="shared" si="24"/>
        <v>25.644730642374746</v>
      </c>
      <c r="N39" s="40">
        <f t="shared" si="24"/>
        <v>26.072177393735309</v>
      </c>
      <c r="O39" s="40">
        <f t="shared" si="24"/>
        <v>25.529051987767581</v>
      </c>
      <c r="P39" s="40">
        <f t="shared" si="24"/>
        <v>25.861078351326018</v>
      </c>
      <c r="Q39" s="40">
        <f t="shared" si="24"/>
        <v>24.952805372450719</v>
      </c>
      <c r="R39" s="40">
        <f t="shared" si="24"/>
        <v>24.929954548284663</v>
      </c>
      <c r="S39" s="40">
        <f t="shared" si="24"/>
        <v>23.95586603903697</v>
      </c>
      <c r="T39" s="40">
        <f t="shared" si="24"/>
        <v>24.91298978331649</v>
      </c>
      <c r="U39" s="40">
        <f t="shared" si="24"/>
        <v>25.313460440068543</v>
      </c>
      <c r="V39" s="40">
        <f t="shared" si="24"/>
        <v>25.83287684876251</v>
      </c>
      <c r="W39" s="40">
        <f t="shared" si="24"/>
        <v>25.486984788704437</v>
      </c>
      <c r="X39" s="40">
        <f t="shared" si="24"/>
        <v>24.395625950080909</v>
      </c>
      <c r="Y39" s="40">
        <f t="shared" ref="Y39:Z39" si="25">(Y38/Y4)*100</f>
        <v>25.090435152675816</v>
      </c>
      <c r="Z39" s="40">
        <f t="shared" si="25"/>
        <v>23.579962272060364</v>
      </c>
      <c r="AA39" s="40">
        <f t="shared" ref="AA39:AB39" si="26">(AA38/AA4)*100</f>
        <v>21.806751331835279</v>
      </c>
      <c r="AB39" s="40">
        <f t="shared" si="26"/>
        <v>21.983744585584269</v>
      </c>
      <c r="AC39" s="40">
        <f t="shared" ref="AC39:AH39" si="27">(AC38/AC4)*100</f>
        <v>21.879934947085584</v>
      </c>
      <c r="AD39" s="40">
        <f t="shared" si="27"/>
        <v>22.247324342210355</v>
      </c>
      <c r="AE39" s="40">
        <f t="shared" si="27"/>
        <v>22.172666454284805</v>
      </c>
      <c r="AF39" s="40">
        <f t="shared" si="27"/>
        <v>22.010560791390947</v>
      </c>
      <c r="AG39" s="40">
        <f t="shared" si="27"/>
        <v>21.661845562744276</v>
      </c>
      <c r="AH39" s="40">
        <f t="shared" si="27"/>
        <v>20.987171973692778</v>
      </c>
    </row>
    <row r="40" spans="1:34">
      <c r="A40" s="37" t="s">
        <v>134</v>
      </c>
      <c r="B40" s="41"/>
      <c r="C40" s="41"/>
      <c r="D40" s="41"/>
      <c r="E40" s="41"/>
      <c r="F40" s="41"/>
      <c r="G40" s="41">
        <v>1618</v>
      </c>
      <c r="H40" s="41"/>
      <c r="I40" s="41"/>
      <c r="J40" s="41">
        <v>1829</v>
      </c>
      <c r="K40" s="41">
        <v>1839</v>
      </c>
      <c r="L40" s="41">
        <v>1862</v>
      </c>
      <c r="M40" s="41">
        <v>1974</v>
      </c>
      <c r="N40" s="41">
        <v>1789</v>
      </c>
      <c r="O40" s="41">
        <v>1940</v>
      </c>
      <c r="P40" s="41">
        <v>2026</v>
      </c>
      <c r="Q40" s="41">
        <v>1810</v>
      </c>
      <c r="R40" s="41">
        <v>1781</v>
      </c>
      <c r="S40" s="41">
        <v>1690</v>
      </c>
      <c r="T40" s="41">
        <v>1823</v>
      </c>
      <c r="U40" s="41">
        <v>1810</v>
      </c>
      <c r="V40" s="41">
        <v>2165</v>
      </c>
      <c r="W40" s="41">
        <v>1902</v>
      </c>
      <c r="X40" s="41">
        <v>1725</v>
      </c>
      <c r="Y40" s="41">
        <v>1624</v>
      </c>
      <c r="Z40" s="1">
        <v>1712</v>
      </c>
      <c r="AA40" s="1">
        <v>1757</v>
      </c>
      <c r="AB40" s="1">
        <v>1969</v>
      </c>
      <c r="AC40" s="1">
        <v>1851</v>
      </c>
      <c r="AD40" s="1">
        <v>2001</v>
      </c>
      <c r="AE40" s="1">
        <v>2026</v>
      </c>
      <c r="AF40" s="1">
        <v>2074</v>
      </c>
      <c r="AG40" s="1">
        <v>1951</v>
      </c>
      <c r="AH40" s="1">
        <v>1946</v>
      </c>
    </row>
    <row r="41" spans="1:34">
      <c r="A41" s="37" t="s">
        <v>135</v>
      </c>
      <c r="B41" s="41"/>
      <c r="C41" s="41"/>
      <c r="D41" s="41"/>
      <c r="E41" s="41"/>
      <c r="F41" s="41"/>
      <c r="G41" s="41">
        <v>742</v>
      </c>
      <c r="H41" s="41"/>
      <c r="I41" s="41"/>
      <c r="J41" s="41">
        <v>776</v>
      </c>
      <c r="K41" s="41">
        <v>732</v>
      </c>
      <c r="L41" s="41">
        <v>759</v>
      </c>
      <c r="M41" s="41">
        <v>805</v>
      </c>
      <c r="N41" s="41">
        <v>828</v>
      </c>
      <c r="O41" s="41">
        <v>776</v>
      </c>
      <c r="P41" s="41">
        <v>777</v>
      </c>
      <c r="Q41" s="41">
        <v>814</v>
      </c>
      <c r="R41" s="41">
        <v>727</v>
      </c>
      <c r="S41" s="41">
        <v>692</v>
      </c>
      <c r="T41" s="41">
        <v>801</v>
      </c>
      <c r="U41" s="41">
        <v>850</v>
      </c>
      <c r="V41" s="41">
        <v>834</v>
      </c>
      <c r="W41" s="41">
        <v>844</v>
      </c>
      <c r="X41" s="41">
        <v>863</v>
      </c>
      <c r="Y41" s="41">
        <v>845</v>
      </c>
      <c r="Z41" s="1">
        <v>863</v>
      </c>
      <c r="AA41" s="1">
        <v>914</v>
      </c>
      <c r="AB41" s="1">
        <v>972</v>
      </c>
      <c r="AC41" s="1">
        <v>993</v>
      </c>
      <c r="AD41" s="1">
        <v>1070</v>
      </c>
      <c r="AE41" s="1">
        <v>1029</v>
      </c>
      <c r="AF41" s="1">
        <v>1040</v>
      </c>
      <c r="AG41" s="1">
        <v>1087</v>
      </c>
      <c r="AH41" s="1">
        <v>1012</v>
      </c>
    </row>
    <row r="42" spans="1:34">
      <c r="A42" s="37" t="s">
        <v>132</v>
      </c>
      <c r="B42" s="41"/>
      <c r="C42" s="41"/>
      <c r="D42" s="41"/>
      <c r="E42" s="41"/>
      <c r="F42" s="41"/>
      <c r="G42" s="41">
        <v>427</v>
      </c>
      <c r="H42" s="41"/>
      <c r="I42" s="41"/>
      <c r="J42" s="41">
        <v>423</v>
      </c>
      <c r="K42" s="41">
        <v>410</v>
      </c>
      <c r="L42" s="41">
        <v>435</v>
      </c>
      <c r="M42" s="41">
        <v>443</v>
      </c>
      <c r="N42" s="41">
        <v>466</v>
      </c>
      <c r="O42" s="41">
        <v>406</v>
      </c>
      <c r="P42" s="41">
        <v>392</v>
      </c>
      <c r="Q42" s="41">
        <v>352</v>
      </c>
      <c r="R42" s="41">
        <v>302</v>
      </c>
      <c r="S42" s="41">
        <v>328</v>
      </c>
      <c r="T42" s="41">
        <v>393</v>
      </c>
      <c r="U42" s="41">
        <v>480</v>
      </c>
      <c r="V42" s="41">
        <v>524</v>
      </c>
      <c r="W42" s="41">
        <v>561</v>
      </c>
      <c r="X42" s="41">
        <v>600</v>
      </c>
      <c r="Y42" s="41">
        <v>415</v>
      </c>
      <c r="Z42" s="1">
        <v>465</v>
      </c>
      <c r="AA42" s="1">
        <v>494</v>
      </c>
      <c r="AB42" s="1">
        <v>517</v>
      </c>
      <c r="AC42" s="1">
        <v>504</v>
      </c>
      <c r="AD42" s="1">
        <v>489</v>
      </c>
      <c r="AE42" s="1">
        <v>448</v>
      </c>
      <c r="AF42" s="1">
        <v>486</v>
      </c>
      <c r="AG42" s="1">
        <v>539</v>
      </c>
      <c r="AH42" s="1">
        <v>480</v>
      </c>
    </row>
    <row r="43" spans="1:34">
      <c r="A43" s="37" t="s">
        <v>136</v>
      </c>
      <c r="B43" s="41"/>
      <c r="C43" s="41"/>
      <c r="D43" s="41"/>
      <c r="E43" s="41"/>
      <c r="F43" s="41"/>
      <c r="G43" s="41">
        <v>278</v>
      </c>
      <c r="H43" s="41"/>
      <c r="I43" s="41"/>
      <c r="J43" s="41">
        <v>297</v>
      </c>
      <c r="K43" s="41">
        <v>250</v>
      </c>
      <c r="L43" s="41">
        <v>257</v>
      </c>
      <c r="M43" s="41">
        <v>297</v>
      </c>
      <c r="N43" s="41">
        <v>269</v>
      </c>
      <c r="O43" s="41">
        <v>264</v>
      </c>
      <c r="P43" s="41">
        <v>279</v>
      </c>
      <c r="Q43" s="41">
        <v>254</v>
      </c>
      <c r="R43" s="41">
        <v>269</v>
      </c>
      <c r="S43" s="41">
        <v>294</v>
      </c>
      <c r="T43" s="41">
        <v>269</v>
      </c>
      <c r="U43" s="41">
        <v>340</v>
      </c>
      <c r="V43" s="41">
        <v>348</v>
      </c>
      <c r="W43" s="41">
        <v>374</v>
      </c>
      <c r="X43" s="41">
        <v>287</v>
      </c>
      <c r="Y43" s="41">
        <v>301</v>
      </c>
      <c r="Z43" s="1">
        <v>360</v>
      </c>
      <c r="AA43" s="1">
        <v>347</v>
      </c>
      <c r="AB43" s="1">
        <v>380</v>
      </c>
      <c r="AC43" s="1">
        <v>348</v>
      </c>
      <c r="AD43" s="1">
        <v>446</v>
      </c>
      <c r="AE43" s="1">
        <v>391</v>
      </c>
      <c r="AF43" s="1">
        <v>418</v>
      </c>
      <c r="AG43" s="1">
        <v>388</v>
      </c>
      <c r="AH43" s="1">
        <v>410</v>
      </c>
    </row>
    <row r="44" spans="1:34">
      <c r="A44" s="37" t="s">
        <v>139</v>
      </c>
      <c r="B44" s="41"/>
      <c r="C44" s="41"/>
      <c r="D44" s="41"/>
      <c r="E44" s="41"/>
      <c r="F44" s="41"/>
      <c r="G44" s="41">
        <v>1014</v>
      </c>
      <c r="H44" s="41"/>
      <c r="I44" s="41"/>
      <c r="J44" s="41">
        <v>1037</v>
      </c>
      <c r="K44" s="41">
        <v>939</v>
      </c>
      <c r="L44" s="41">
        <v>938</v>
      </c>
      <c r="M44" s="41">
        <v>1024</v>
      </c>
      <c r="N44" s="41">
        <v>1052</v>
      </c>
      <c r="O44" s="41">
        <v>982</v>
      </c>
      <c r="P44" s="41">
        <v>1092</v>
      </c>
      <c r="Q44" s="41">
        <v>1091</v>
      </c>
      <c r="R44" s="41">
        <v>1037</v>
      </c>
      <c r="S44" s="41">
        <v>1093</v>
      </c>
      <c r="T44" s="41">
        <v>1122</v>
      </c>
      <c r="U44" s="41">
        <v>1242</v>
      </c>
      <c r="V44" s="41">
        <v>1259</v>
      </c>
      <c r="W44" s="41">
        <v>1207</v>
      </c>
      <c r="X44" s="41">
        <v>1299</v>
      </c>
      <c r="Y44" s="41">
        <v>1212</v>
      </c>
      <c r="Z44" s="1">
        <v>1219</v>
      </c>
      <c r="AA44" s="1">
        <v>1274</v>
      </c>
      <c r="AB44" s="1">
        <v>1262</v>
      </c>
      <c r="AC44" s="1">
        <v>1427</v>
      </c>
      <c r="AD44" s="1">
        <v>1395</v>
      </c>
      <c r="AE44" s="1">
        <v>1373</v>
      </c>
      <c r="AF44" s="1">
        <v>1355</v>
      </c>
      <c r="AG44" s="1">
        <v>1346</v>
      </c>
      <c r="AH44" s="1">
        <v>1306</v>
      </c>
    </row>
    <row r="45" spans="1:34">
      <c r="A45" s="37" t="s">
        <v>140</v>
      </c>
      <c r="B45" s="41"/>
      <c r="C45" s="41"/>
      <c r="D45" s="41"/>
      <c r="E45" s="41"/>
      <c r="F45" s="41"/>
      <c r="G45" s="41">
        <v>424</v>
      </c>
      <c r="H45" s="41"/>
      <c r="I45" s="41"/>
      <c r="J45" s="41">
        <v>426</v>
      </c>
      <c r="K45" s="41">
        <v>436</v>
      </c>
      <c r="L45" s="41">
        <v>640</v>
      </c>
      <c r="M45" s="41">
        <v>605</v>
      </c>
      <c r="N45" s="41">
        <v>702</v>
      </c>
      <c r="O45" s="41">
        <v>650</v>
      </c>
      <c r="P45" s="41">
        <v>674</v>
      </c>
      <c r="Q45" s="41">
        <v>643</v>
      </c>
      <c r="R45" s="41">
        <v>726</v>
      </c>
      <c r="S45" s="41">
        <v>780</v>
      </c>
      <c r="T45" s="41">
        <v>916</v>
      </c>
      <c r="U45" s="41">
        <v>1012</v>
      </c>
      <c r="V45" s="41">
        <v>1462</v>
      </c>
      <c r="W45" s="41">
        <v>1486</v>
      </c>
      <c r="X45" s="41">
        <v>1378</v>
      </c>
      <c r="Y45" s="41">
        <v>1631</v>
      </c>
      <c r="Z45" s="1">
        <v>1221</v>
      </c>
      <c r="AA45" s="1">
        <v>558</v>
      </c>
      <c r="AB45" s="1">
        <v>602</v>
      </c>
      <c r="AC45" s="1">
        <v>641</v>
      </c>
      <c r="AD45" s="1">
        <v>680</v>
      </c>
      <c r="AE45" s="1">
        <v>699</v>
      </c>
      <c r="AF45" s="1">
        <v>645</v>
      </c>
      <c r="AG45" s="1">
        <v>617</v>
      </c>
      <c r="AH45" s="1">
        <v>661</v>
      </c>
    </row>
    <row r="46" spans="1:34">
      <c r="A46" s="37" t="s">
        <v>141</v>
      </c>
      <c r="B46" s="41"/>
      <c r="C46" s="41"/>
      <c r="D46" s="41"/>
      <c r="E46" s="41"/>
      <c r="F46" s="41"/>
      <c r="G46" s="41">
        <v>441</v>
      </c>
      <c r="H46" s="41"/>
      <c r="I46" s="41"/>
      <c r="J46" s="41">
        <v>589</v>
      </c>
      <c r="K46" s="41">
        <v>553</v>
      </c>
      <c r="L46" s="41">
        <v>577</v>
      </c>
      <c r="M46" s="41">
        <v>501</v>
      </c>
      <c r="N46" s="41">
        <v>544</v>
      </c>
      <c r="O46" s="41">
        <v>575</v>
      </c>
      <c r="P46" s="41">
        <v>653</v>
      </c>
      <c r="Q46" s="41">
        <v>597</v>
      </c>
      <c r="R46" s="41">
        <v>944</v>
      </c>
      <c r="S46" s="41">
        <v>979</v>
      </c>
      <c r="T46" s="41">
        <v>1062</v>
      </c>
      <c r="U46" s="41">
        <v>1156</v>
      </c>
      <c r="V46" s="41">
        <v>1220</v>
      </c>
      <c r="W46" s="41">
        <v>1256</v>
      </c>
      <c r="X46" s="41">
        <v>1209</v>
      </c>
      <c r="Y46" s="41">
        <v>879</v>
      </c>
      <c r="Z46" s="1">
        <v>864</v>
      </c>
      <c r="AA46" s="1">
        <v>983</v>
      </c>
      <c r="AB46" s="1">
        <v>903</v>
      </c>
      <c r="AC46" s="1">
        <v>1075</v>
      </c>
      <c r="AD46" s="1">
        <v>1150</v>
      </c>
      <c r="AE46" s="1">
        <v>1158</v>
      </c>
      <c r="AF46" s="1">
        <v>1341</v>
      </c>
      <c r="AG46" s="1">
        <v>1298</v>
      </c>
      <c r="AH46" s="1">
        <v>1240</v>
      </c>
    </row>
    <row r="47" spans="1:34">
      <c r="A47" s="37" t="s">
        <v>144</v>
      </c>
      <c r="B47" s="41"/>
      <c r="C47" s="41"/>
      <c r="D47" s="41"/>
      <c r="E47" s="41"/>
      <c r="F47" s="41"/>
      <c r="G47" s="41">
        <v>212</v>
      </c>
      <c r="H47" s="41"/>
      <c r="I47" s="41"/>
      <c r="J47" s="41">
        <v>171</v>
      </c>
      <c r="K47" s="41">
        <v>174</v>
      </c>
      <c r="L47" s="41">
        <v>176</v>
      </c>
      <c r="M47" s="41">
        <v>194</v>
      </c>
      <c r="N47" s="41">
        <v>208</v>
      </c>
      <c r="O47" s="41">
        <v>283</v>
      </c>
      <c r="P47" s="41">
        <v>337</v>
      </c>
      <c r="Q47" s="41">
        <v>283</v>
      </c>
      <c r="R47" s="41">
        <v>340</v>
      </c>
      <c r="S47" s="41">
        <v>274</v>
      </c>
      <c r="T47" s="41">
        <v>384</v>
      </c>
      <c r="U47" s="41">
        <v>305</v>
      </c>
      <c r="V47" s="41">
        <v>317</v>
      </c>
      <c r="W47" s="41">
        <v>263</v>
      </c>
      <c r="X47" s="41">
        <v>287</v>
      </c>
      <c r="Y47" s="41">
        <v>287</v>
      </c>
      <c r="Z47" s="1">
        <v>267</v>
      </c>
      <c r="AA47" s="1">
        <v>217</v>
      </c>
      <c r="AB47" s="1">
        <v>242</v>
      </c>
      <c r="AC47" s="1">
        <v>264</v>
      </c>
      <c r="AD47" s="1">
        <v>285</v>
      </c>
      <c r="AE47" s="1">
        <v>290</v>
      </c>
      <c r="AF47" s="1">
        <v>265</v>
      </c>
      <c r="AG47" s="1">
        <v>298</v>
      </c>
      <c r="AH47" s="1">
        <v>311</v>
      </c>
    </row>
    <row r="48" spans="1:34">
      <c r="A48" s="37" t="s">
        <v>143</v>
      </c>
      <c r="B48" s="41"/>
      <c r="C48" s="41"/>
      <c r="D48" s="41"/>
      <c r="E48" s="41"/>
      <c r="F48" s="41"/>
      <c r="G48" s="41">
        <v>68</v>
      </c>
      <c r="H48" s="41"/>
      <c r="I48" s="41"/>
      <c r="J48" s="41">
        <v>60</v>
      </c>
      <c r="K48" s="41">
        <v>56</v>
      </c>
      <c r="L48" s="41">
        <v>61</v>
      </c>
      <c r="M48" s="41">
        <v>71</v>
      </c>
      <c r="N48" s="41">
        <v>68</v>
      </c>
      <c r="O48" s="41">
        <v>65</v>
      </c>
      <c r="P48" s="41">
        <v>46</v>
      </c>
      <c r="Q48" s="41">
        <v>49</v>
      </c>
      <c r="R48" s="41">
        <v>62</v>
      </c>
      <c r="S48" s="41">
        <v>71</v>
      </c>
      <c r="T48" s="41">
        <v>170</v>
      </c>
      <c r="U48" s="41">
        <v>130</v>
      </c>
      <c r="V48" s="41">
        <v>140</v>
      </c>
      <c r="W48" s="41">
        <v>192</v>
      </c>
      <c r="X48" s="41">
        <v>135</v>
      </c>
      <c r="Y48" s="41">
        <v>96</v>
      </c>
      <c r="Z48" s="1">
        <v>91</v>
      </c>
      <c r="AA48" s="1">
        <v>91</v>
      </c>
      <c r="AB48" s="1">
        <v>98</v>
      </c>
      <c r="AC48" s="1">
        <v>88</v>
      </c>
      <c r="AD48" s="1">
        <v>101</v>
      </c>
      <c r="AE48" s="1">
        <v>107</v>
      </c>
      <c r="AF48" s="1">
        <v>107</v>
      </c>
      <c r="AG48" s="1">
        <v>106</v>
      </c>
      <c r="AH48" s="1">
        <v>106</v>
      </c>
    </row>
    <row r="49" spans="1:34">
      <c r="A49" s="37" t="s">
        <v>150</v>
      </c>
      <c r="B49" s="41"/>
      <c r="C49" s="41"/>
      <c r="D49" s="41"/>
      <c r="E49" s="41"/>
      <c r="F49" s="41"/>
      <c r="G49" s="41">
        <v>1287</v>
      </c>
      <c r="H49" s="41"/>
      <c r="I49" s="41"/>
      <c r="J49" s="41">
        <v>1262</v>
      </c>
      <c r="K49" s="41">
        <v>1374</v>
      </c>
      <c r="L49" s="41">
        <v>1463</v>
      </c>
      <c r="M49" s="41">
        <v>1543</v>
      </c>
      <c r="N49" s="41">
        <v>1533</v>
      </c>
      <c r="O49" s="41">
        <v>1621</v>
      </c>
      <c r="P49" s="41">
        <v>1534</v>
      </c>
      <c r="Q49" s="41">
        <v>1454</v>
      </c>
      <c r="R49" s="41">
        <v>1192</v>
      </c>
      <c r="S49" s="41">
        <v>1152</v>
      </c>
      <c r="T49" s="41">
        <v>1213</v>
      </c>
      <c r="U49" s="41">
        <v>1247</v>
      </c>
      <c r="V49" s="41">
        <v>1278</v>
      </c>
      <c r="W49" s="41">
        <v>1415</v>
      </c>
      <c r="X49" s="41">
        <v>1362</v>
      </c>
      <c r="Y49" s="41">
        <v>1412</v>
      </c>
      <c r="Z49" s="1">
        <v>1167</v>
      </c>
      <c r="AA49" s="1">
        <v>1142</v>
      </c>
      <c r="AB49" s="1">
        <v>1240</v>
      </c>
      <c r="AC49" s="1">
        <v>1203</v>
      </c>
      <c r="AD49" s="1">
        <v>1284</v>
      </c>
      <c r="AE49" s="1">
        <v>1318</v>
      </c>
      <c r="AF49" s="1">
        <v>1282</v>
      </c>
      <c r="AG49" s="1">
        <v>1303</v>
      </c>
      <c r="AH49" s="1">
        <v>1378</v>
      </c>
    </row>
    <row r="50" spans="1:34">
      <c r="A50" s="37" t="s">
        <v>154</v>
      </c>
      <c r="B50" s="41"/>
      <c r="C50" s="41"/>
      <c r="D50" s="41"/>
      <c r="E50" s="41"/>
      <c r="F50" s="41"/>
      <c r="G50" s="41">
        <v>58</v>
      </c>
      <c r="H50" s="41"/>
      <c r="I50" s="41"/>
      <c r="J50" s="41">
        <v>51</v>
      </c>
      <c r="K50" s="41">
        <v>43</v>
      </c>
      <c r="L50" s="41">
        <v>53</v>
      </c>
      <c r="M50" s="41">
        <v>55</v>
      </c>
      <c r="N50" s="41">
        <v>75</v>
      </c>
      <c r="O50" s="41">
        <v>82</v>
      </c>
      <c r="P50" s="41">
        <v>57</v>
      </c>
      <c r="Q50" s="41">
        <v>72</v>
      </c>
      <c r="R50" s="41">
        <v>49</v>
      </c>
      <c r="S50" s="41">
        <v>68</v>
      </c>
      <c r="T50" s="41">
        <v>61</v>
      </c>
      <c r="U50" s="41">
        <v>55</v>
      </c>
      <c r="V50" s="41">
        <v>73</v>
      </c>
      <c r="W50" s="41">
        <v>92</v>
      </c>
      <c r="X50" s="41">
        <v>78</v>
      </c>
      <c r="Y50" s="41">
        <v>75</v>
      </c>
      <c r="Z50" s="1">
        <v>65</v>
      </c>
      <c r="AA50" s="1">
        <v>81</v>
      </c>
      <c r="AB50" s="1">
        <v>79</v>
      </c>
      <c r="AC50" s="1">
        <v>88</v>
      </c>
      <c r="AD50" s="1">
        <v>89</v>
      </c>
      <c r="AE50" s="1">
        <v>129</v>
      </c>
      <c r="AF50" s="1">
        <v>79</v>
      </c>
      <c r="AG50" s="1">
        <v>106</v>
      </c>
      <c r="AH50" s="1">
        <v>117</v>
      </c>
    </row>
    <row r="51" spans="1:34">
      <c r="A51" s="42" t="s">
        <v>157</v>
      </c>
      <c r="B51" s="43"/>
      <c r="C51" s="43"/>
      <c r="D51" s="43"/>
      <c r="E51" s="43"/>
      <c r="F51" s="43"/>
      <c r="G51" s="43">
        <v>601</v>
      </c>
      <c r="H51" s="43"/>
      <c r="I51" s="43"/>
      <c r="J51" s="43">
        <v>591</v>
      </c>
      <c r="K51" s="43">
        <v>566</v>
      </c>
      <c r="L51" s="43">
        <v>654</v>
      </c>
      <c r="M51" s="43">
        <v>652</v>
      </c>
      <c r="N51" s="43">
        <v>673</v>
      </c>
      <c r="O51" s="43">
        <v>704</v>
      </c>
      <c r="P51" s="43">
        <v>685</v>
      </c>
      <c r="Q51" s="43">
        <v>644</v>
      </c>
      <c r="R51" s="43">
        <v>579</v>
      </c>
      <c r="S51" s="43">
        <v>569</v>
      </c>
      <c r="T51" s="43">
        <v>662</v>
      </c>
      <c r="U51" s="43">
        <v>680</v>
      </c>
      <c r="V51" s="43">
        <v>755</v>
      </c>
      <c r="W51" s="43">
        <v>679</v>
      </c>
      <c r="X51" s="43">
        <v>727</v>
      </c>
      <c r="Y51" s="43">
        <v>656</v>
      </c>
      <c r="Z51" s="1">
        <v>706</v>
      </c>
      <c r="AA51" s="6">
        <v>779</v>
      </c>
      <c r="AB51" s="1">
        <v>770</v>
      </c>
      <c r="AC51" s="1">
        <v>801</v>
      </c>
      <c r="AD51" s="1">
        <v>759</v>
      </c>
      <c r="AE51" s="1">
        <v>776</v>
      </c>
      <c r="AF51" s="1">
        <v>787</v>
      </c>
      <c r="AG51" s="1">
        <v>771</v>
      </c>
      <c r="AH51" s="1">
        <v>702</v>
      </c>
    </row>
    <row r="52" spans="1:34">
      <c r="A52" s="37" t="s">
        <v>212</v>
      </c>
      <c r="B52" s="38">
        <f t="shared" ref="B52:X52" si="28">SUM(B54:B62)</f>
        <v>0</v>
      </c>
      <c r="C52" s="38">
        <f t="shared" si="28"/>
        <v>0</v>
      </c>
      <c r="D52" s="38">
        <f t="shared" si="28"/>
        <v>0</v>
      </c>
      <c r="E52" s="38">
        <f t="shared" si="28"/>
        <v>0</v>
      </c>
      <c r="F52" s="38">
        <f t="shared" si="28"/>
        <v>0</v>
      </c>
      <c r="G52" s="38">
        <f t="shared" si="28"/>
        <v>6274</v>
      </c>
      <c r="H52" s="38">
        <f t="shared" si="28"/>
        <v>0</v>
      </c>
      <c r="I52" s="38">
        <f t="shared" si="28"/>
        <v>0</v>
      </c>
      <c r="J52" s="38">
        <f t="shared" si="28"/>
        <v>7232</v>
      </c>
      <c r="K52" s="38">
        <f t="shared" si="28"/>
        <v>7273</v>
      </c>
      <c r="L52" s="38">
        <f t="shared" si="28"/>
        <v>7031</v>
      </c>
      <c r="M52" s="38">
        <f t="shared" si="28"/>
        <v>7318</v>
      </c>
      <c r="N52" s="38">
        <f t="shared" si="28"/>
        <v>6934</v>
      </c>
      <c r="O52" s="38">
        <f t="shared" si="28"/>
        <v>7011</v>
      </c>
      <c r="P52" s="38">
        <f t="shared" si="28"/>
        <v>7152</v>
      </c>
      <c r="Q52" s="38">
        <f t="shared" si="28"/>
        <v>6636</v>
      </c>
      <c r="R52" s="38">
        <f t="shared" si="28"/>
        <v>6558</v>
      </c>
      <c r="S52" s="38">
        <f t="shared" si="28"/>
        <v>7240</v>
      </c>
      <c r="T52" s="38">
        <f t="shared" si="28"/>
        <v>7362</v>
      </c>
      <c r="U52" s="38">
        <f t="shared" si="28"/>
        <v>7936</v>
      </c>
      <c r="V52" s="38">
        <f t="shared" si="28"/>
        <v>8594</v>
      </c>
      <c r="W52" s="38">
        <f t="shared" si="28"/>
        <v>8280</v>
      </c>
      <c r="X52" s="38">
        <f t="shared" si="28"/>
        <v>8215</v>
      </c>
      <c r="Y52" s="38">
        <f t="shared" ref="Y52:Z52" si="29">SUM(Y54:Y62)</f>
        <v>7125</v>
      </c>
      <c r="Z52" s="38">
        <f t="shared" si="29"/>
        <v>7496</v>
      </c>
      <c r="AA52" s="38">
        <f t="shared" ref="AA52:AB52" si="30">SUM(AA54:AA62)</f>
        <v>7861</v>
      </c>
      <c r="AB52" s="38">
        <f t="shared" si="30"/>
        <v>7781</v>
      </c>
      <c r="AC52" s="38">
        <f t="shared" ref="AC52:AH52" si="31">SUM(AC54:AC62)</f>
        <v>8324</v>
      </c>
      <c r="AD52" s="38">
        <f t="shared" si="31"/>
        <v>8284</v>
      </c>
      <c r="AE52" s="38">
        <f t="shared" si="31"/>
        <v>8713</v>
      </c>
      <c r="AF52" s="38">
        <f t="shared" si="31"/>
        <v>8715</v>
      </c>
      <c r="AG52" s="38">
        <f t="shared" si="31"/>
        <v>8885</v>
      </c>
      <c r="AH52" s="38">
        <f t="shared" si="31"/>
        <v>8962</v>
      </c>
    </row>
    <row r="53" spans="1:34">
      <c r="A53" s="39" t="s">
        <v>213</v>
      </c>
      <c r="B53" s="40">
        <f t="shared" ref="B53:X53" si="32">(B52/B4)*100</f>
        <v>0</v>
      </c>
      <c r="C53" s="40">
        <f t="shared" si="32"/>
        <v>0</v>
      </c>
      <c r="D53" s="40">
        <f t="shared" si="32"/>
        <v>0</v>
      </c>
      <c r="E53" s="40">
        <f t="shared" si="32"/>
        <v>0</v>
      </c>
      <c r="F53" s="40">
        <f t="shared" si="32"/>
        <v>0</v>
      </c>
      <c r="G53" s="40">
        <f t="shared" si="32"/>
        <v>23.901862928111548</v>
      </c>
      <c r="H53" s="40">
        <f t="shared" si="32"/>
        <v>0</v>
      </c>
      <c r="I53" s="40">
        <f t="shared" si="32"/>
        <v>0</v>
      </c>
      <c r="J53" s="40">
        <f t="shared" si="32"/>
        <v>24.968926943792294</v>
      </c>
      <c r="K53" s="40">
        <f t="shared" si="32"/>
        <v>24.46761984861228</v>
      </c>
      <c r="L53" s="40">
        <f t="shared" si="32"/>
        <v>23.128289473684209</v>
      </c>
      <c r="M53" s="40">
        <f t="shared" si="32"/>
        <v>22.987278152976284</v>
      </c>
      <c r="N53" s="40">
        <f t="shared" si="32"/>
        <v>22.028083105661096</v>
      </c>
      <c r="O53" s="40">
        <f t="shared" si="32"/>
        <v>21.440366972477065</v>
      </c>
      <c r="P53" s="40">
        <f t="shared" si="32"/>
        <v>21.627506123559829</v>
      </c>
      <c r="Q53" s="40">
        <f t="shared" si="32"/>
        <v>20.536626125707919</v>
      </c>
      <c r="R53" s="40">
        <f t="shared" si="32"/>
        <v>20.415914326629725</v>
      </c>
      <c r="S53" s="40">
        <f t="shared" si="32"/>
        <v>21.707192756273798</v>
      </c>
      <c r="T53" s="40">
        <f t="shared" si="32"/>
        <v>20.663523071741327</v>
      </c>
      <c r="U53" s="40">
        <f t="shared" si="32"/>
        <v>21.584573122637146</v>
      </c>
      <c r="V53" s="40">
        <f t="shared" si="32"/>
        <v>21.398336736218315</v>
      </c>
      <c r="W53" s="40">
        <f t="shared" si="32"/>
        <v>20.546415543810021</v>
      </c>
      <c r="X53" s="40">
        <f t="shared" si="32"/>
        <v>20.141715294463786</v>
      </c>
      <c r="Y53" s="40">
        <f t="shared" ref="Y53:Z53" si="33">(Y52/Y4)*100</f>
        <v>18.951484200446856</v>
      </c>
      <c r="Z53" s="40">
        <f t="shared" si="33"/>
        <v>19.639488576818277</v>
      </c>
      <c r="AA53" s="40">
        <f t="shared" ref="AA53:AB53" si="34">(AA52/AA4)*100</f>
        <v>19.847501704244198</v>
      </c>
      <c r="AB53" s="40">
        <f t="shared" si="34"/>
        <v>18.934637659999026</v>
      </c>
      <c r="AC53" s="40">
        <f t="shared" ref="AC53:AH53" si="35">(AC52/AC4)*100</f>
        <v>19.619581870035592</v>
      </c>
      <c r="AD53" s="40">
        <f t="shared" si="35"/>
        <v>18.904178361972569</v>
      </c>
      <c r="AE53" s="40">
        <f t="shared" si="35"/>
        <v>19.826605379329177</v>
      </c>
      <c r="AF53" s="40">
        <f t="shared" si="35"/>
        <v>19.417151259942518</v>
      </c>
      <c r="AG53" s="40">
        <f t="shared" si="35"/>
        <v>19.619316801731181</v>
      </c>
      <c r="AH53" s="40">
        <f t="shared" si="35"/>
        <v>19.452584055045474</v>
      </c>
    </row>
    <row r="54" spans="1:34">
      <c r="A54" s="37" t="s">
        <v>129</v>
      </c>
      <c r="B54" s="41"/>
      <c r="C54" s="41"/>
      <c r="D54" s="41"/>
      <c r="E54" s="41"/>
      <c r="F54" s="41"/>
      <c r="G54" s="41">
        <v>442</v>
      </c>
      <c r="H54" s="41"/>
      <c r="I54" s="41"/>
      <c r="J54" s="41">
        <v>415</v>
      </c>
      <c r="K54" s="41">
        <v>416</v>
      </c>
      <c r="L54" s="41">
        <v>444</v>
      </c>
      <c r="M54" s="41">
        <v>458</v>
      </c>
      <c r="N54" s="41">
        <v>461</v>
      </c>
      <c r="O54" s="41">
        <v>451</v>
      </c>
      <c r="P54" s="41">
        <v>445</v>
      </c>
      <c r="Q54" s="41">
        <v>441</v>
      </c>
      <c r="R54" s="41">
        <v>382</v>
      </c>
      <c r="S54" s="41">
        <v>380</v>
      </c>
      <c r="T54" s="41">
        <v>351</v>
      </c>
      <c r="U54" s="41">
        <v>395</v>
      </c>
      <c r="V54" s="41">
        <v>453</v>
      </c>
      <c r="W54" s="41">
        <v>429</v>
      </c>
      <c r="X54" s="41">
        <v>371</v>
      </c>
      <c r="Y54" s="41">
        <v>384</v>
      </c>
      <c r="Z54" s="1">
        <v>313</v>
      </c>
      <c r="AA54" s="1">
        <v>411</v>
      </c>
      <c r="AB54" s="1">
        <v>462</v>
      </c>
      <c r="AC54" s="1">
        <v>448</v>
      </c>
      <c r="AD54" s="1">
        <v>490</v>
      </c>
      <c r="AE54" s="1">
        <v>476</v>
      </c>
      <c r="AF54" s="1">
        <v>498</v>
      </c>
      <c r="AG54" s="1">
        <v>521</v>
      </c>
      <c r="AH54" s="1">
        <v>523</v>
      </c>
    </row>
    <row r="55" spans="1:34">
      <c r="A55" s="37" t="s">
        <v>138</v>
      </c>
      <c r="B55" s="41"/>
      <c r="C55" s="41"/>
      <c r="D55" s="41"/>
      <c r="E55" s="41"/>
      <c r="F55" s="41"/>
      <c r="G55" s="41">
        <v>24</v>
      </c>
      <c r="H55" s="41"/>
      <c r="I55" s="41"/>
      <c r="J55" s="41">
        <v>35</v>
      </c>
      <c r="K55" s="41">
        <v>32</v>
      </c>
      <c r="L55" s="41">
        <v>32</v>
      </c>
      <c r="M55" s="41">
        <v>27</v>
      </c>
      <c r="N55" s="41">
        <v>26</v>
      </c>
      <c r="O55" s="41">
        <v>56</v>
      </c>
      <c r="P55" s="41">
        <v>33</v>
      </c>
      <c r="Q55" s="41">
        <v>37</v>
      </c>
      <c r="R55" s="41">
        <v>34</v>
      </c>
      <c r="S55" s="41">
        <v>37</v>
      </c>
      <c r="T55" s="41">
        <v>30</v>
      </c>
      <c r="U55" s="41">
        <v>29</v>
      </c>
      <c r="V55" s="41">
        <v>44</v>
      </c>
      <c r="W55" s="41">
        <v>39</v>
      </c>
      <c r="X55" s="41">
        <v>47</v>
      </c>
      <c r="Y55" s="41">
        <v>39</v>
      </c>
      <c r="Z55" s="1">
        <v>42</v>
      </c>
      <c r="AA55" s="1">
        <v>42</v>
      </c>
      <c r="AB55" s="1">
        <v>45</v>
      </c>
      <c r="AC55" s="1">
        <v>65</v>
      </c>
      <c r="AD55" s="1">
        <v>57</v>
      </c>
      <c r="AE55" s="1">
        <v>100</v>
      </c>
      <c r="AF55" s="1">
        <v>103</v>
      </c>
      <c r="AG55" s="1">
        <v>82</v>
      </c>
      <c r="AH55" s="1">
        <v>141</v>
      </c>
    </row>
    <row r="56" spans="1:34">
      <c r="A56" s="37" t="s">
        <v>137</v>
      </c>
      <c r="B56" s="41"/>
      <c r="C56" s="41"/>
      <c r="D56" s="41"/>
      <c r="E56" s="41"/>
      <c r="F56" s="41"/>
      <c r="G56" s="41">
        <v>1475</v>
      </c>
      <c r="H56" s="41"/>
      <c r="I56" s="41"/>
      <c r="J56" s="41">
        <v>1520</v>
      </c>
      <c r="K56" s="41">
        <v>1533</v>
      </c>
      <c r="L56" s="41">
        <v>1426</v>
      </c>
      <c r="M56" s="41">
        <v>1432</v>
      </c>
      <c r="N56" s="41">
        <v>1429</v>
      </c>
      <c r="O56" s="41">
        <v>1246</v>
      </c>
      <c r="P56" s="41">
        <v>1412</v>
      </c>
      <c r="Q56" s="41">
        <v>1225</v>
      </c>
      <c r="R56" s="41">
        <v>1319</v>
      </c>
      <c r="S56" s="41">
        <v>1462</v>
      </c>
      <c r="T56" s="41">
        <v>1527</v>
      </c>
      <c r="U56" s="41">
        <v>1629</v>
      </c>
      <c r="V56" s="41">
        <v>1931</v>
      </c>
      <c r="W56" s="41">
        <v>1673</v>
      </c>
      <c r="X56" s="41">
        <v>1635</v>
      </c>
      <c r="Y56" s="41">
        <v>1398</v>
      </c>
      <c r="Z56" s="1">
        <v>1498</v>
      </c>
      <c r="AA56" s="1">
        <v>1629</v>
      </c>
      <c r="AB56" s="1">
        <v>1622</v>
      </c>
      <c r="AC56" s="1">
        <v>1766</v>
      </c>
      <c r="AD56" s="1">
        <v>1736</v>
      </c>
      <c r="AE56" s="1">
        <v>1881</v>
      </c>
      <c r="AF56" s="1">
        <v>1900</v>
      </c>
      <c r="AG56" s="1">
        <v>1948</v>
      </c>
      <c r="AH56" s="1">
        <v>1932</v>
      </c>
    </row>
    <row r="57" spans="1:34">
      <c r="A57" s="37" t="s">
        <v>145</v>
      </c>
      <c r="B57" s="41"/>
      <c r="C57" s="41"/>
      <c r="D57" s="41"/>
      <c r="E57" s="41"/>
      <c r="F57" s="41"/>
      <c r="G57" s="41">
        <v>65</v>
      </c>
      <c r="H57" s="41"/>
      <c r="I57" s="41"/>
      <c r="J57" s="41">
        <v>57</v>
      </c>
      <c r="K57" s="41">
        <v>82</v>
      </c>
      <c r="L57" s="41">
        <v>111</v>
      </c>
      <c r="M57" s="41">
        <v>82</v>
      </c>
      <c r="N57" s="41">
        <v>84</v>
      </c>
      <c r="O57" s="41">
        <v>111</v>
      </c>
      <c r="P57" s="41">
        <v>112</v>
      </c>
      <c r="Q57" s="41">
        <v>92</v>
      </c>
      <c r="R57" s="41">
        <v>104</v>
      </c>
      <c r="S57" s="41">
        <v>91</v>
      </c>
      <c r="T57" s="41">
        <v>127</v>
      </c>
      <c r="U57" s="41">
        <v>102</v>
      </c>
      <c r="V57" s="41">
        <v>140</v>
      </c>
      <c r="W57" s="41">
        <v>110</v>
      </c>
      <c r="X57" s="41">
        <v>116</v>
      </c>
      <c r="Y57" s="41">
        <v>94</v>
      </c>
      <c r="Z57" s="1">
        <v>87</v>
      </c>
      <c r="AA57" s="1">
        <v>94</v>
      </c>
      <c r="AB57" s="1">
        <v>93</v>
      </c>
      <c r="AC57" s="1">
        <v>124</v>
      </c>
      <c r="AD57" s="1">
        <v>122</v>
      </c>
      <c r="AE57" s="1">
        <v>113</v>
      </c>
      <c r="AF57" s="1">
        <v>126</v>
      </c>
      <c r="AG57" s="1">
        <v>127</v>
      </c>
      <c r="AH57" s="1">
        <v>141</v>
      </c>
    </row>
    <row r="58" spans="1:34">
      <c r="A58" s="37" t="s">
        <v>146</v>
      </c>
      <c r="B58" s="41"/>
      <c r="C58" s="41"/>
      <c r="D58" s="41"/>
      <c r="E58" s="41"/>
      <c r="F58" s="41"/>
      <c r="G58" s="41">
        <v>553</v>
      </c>
      <c r="H58" s="41"/>
      <c r="I58" s="41"/>
      <c r="J58" s="41">
        <v>661</v>
      </c>
      <c r="K58" s="41">
        <v>632</v>
      </c>
      <c r="L58" s="41">
        <v>640</v>
      </c>
      <c r="M58" s="41">
        <v>720</v>
      </c>
      <c r="N58" s="41">
        <v>673</v>
      </c>
      <c r="O58" s="41">
        <v>646</v>
      </c>
      <c r="P58" s="41">
        <v>629</v>
      </c>
      <c r="Q58" s="41">
        <v>590</v>
      </c>
      <c r="R58" s="41">
        <v>657</v>
      </c>
      <c r="S58" s="41">
        <v>693</v>
      </c>
      <c r="T58" s="41">
        <v>665</v>
      </c>
      <c r="U58" s="41">
        <v>656</v>
      </c>
      <c r="V58" s="41">
        <v>696</v>
      </c>
      <c r="W58" s="41">
        <v>753</v>
      </c>
      <c r="X58" s="41">
        <v>863</v>
      </c>
      <c r="Y58" s="41">
        <v>779</v>
      </c>
      <c r="Z58" s="1">
        <v>862</v>
      </c>
      <c r="AA58" s="1">
        <v>832</v>
      </c>
      <c r="AB58" s="1">
        <v>627</v>
      </c>
      <c r="AC58" s="1">
        <v>855</v>
      </c>
      <c r="AD58" s="1">
        <v>894</v>
      </c>
      <c r="AE58" s="1">
        <v>954</v>
      </c>
      <c r="AF58" s="1">
        <v>931</v>
      </c>
      <c r="AG58" s="1">
        <v>1004</v>
      </c>
      <c r="AH58" s="1">
        <v>1069</v>
      </c>
    </row>
    <row r="59" spans="1:34">
      <c r="A59" s="37" t="s">
        <v>149</v>
      </c>
      <c r="B59" s="41"/>
      <c r="C59" s="41"/>
      <c r="D59" s="41"/>
      <c r="E59" s="41"/>
      <c r="F59" s="41"/>
      <c r="G59" s="41">
        <v>2133</v>
      </c>
      <c r="H59" s="41"/>
      <c r="I59" s="41"/>
      <c r="J59" s="41">
        <v>2704</v>
      </c>
      <c r="K59" s="41">
        <v>2770</v>
      </c>
      <c r="L59" s="41">
        <v>2620</v>
      </c>
      <c r="M59" s="41">
        <v>2636</v>
      </c>
      <c r="N59" s="41">
        <v>2389</v>
      </c>
      <c r="O59" s="41">
        <v>2570</v>
      </c>
      <c r="P59" s="41">
        <v>2536</v>
      </c>
      <c r="Q59" s="41">
        <v>2461</v>
      </c>
      <c r="R59" s="41">
        <v>2331</v>
      </c>
      <c r="S59" s="41">
        <v>2486</v>
      </c>
      <c r="T59" s="41">
        <v>2632</v>
      </c>
      <c r="U59" s="41">
        <v>2709</v>
      </c>
      <c r="V59" s="41">
        <v>2789</v>
      </c>
      <c r="W59" s="41">
        <v>2737</v>
      </c>
      <c r="X59" s="41">
        <v>2865</v>
      </c>
      <c r="Y59" s="41">
        <v>2576</v>
      </c>
      <c r="Z59" s="1">
        <v>2682</v>
      </c>
      <c r="AA59" s="1">
        <v>2719</v>
      </c>
      <c r="AB59" s="1">
        <v>2821</v>
      </c>
      <c r="AC59" s="1">
        <v>2848</v>
      </c>
      <c r="AD59" s="1">
        <v>2792</v>
      </c>
      <c r="AE59" s="1">
        <v>2940</v>
      </c>
      <c r="AF59" s="1">
        <v>2789</v>
      </c>
      <c r="AG59" s="1">
        <v>2937</v>
      </c>
      <c r="AH59" s="1">
        <v>2850</v>
      </c>
    </row>
    <row r="60" spans="1:34">
      <c r="A60" s="37" t="s">
        <v>152</v>
      </c>
      <c r="B60" s="41"/>
      <c r="C60" s="41"/>
      <c r="D60" s="41"/>
      <c r="E60" s="41"/>
      <c r="F60" s="41"/>
      <c r="G60" s="41">
        <v>1399</v>
      </c>
      <c r="H60" s="41"/>
      <c r="I60" s="41"/>
      <c r="J60" s="41">
        <v>1641</v>
      </c>
      <c r="K60" s="41">
        <v>1587</v>
      </c>
      <c r="L60" s="41">
        <v>1558</v>
      </c>
      <c r="M60" s="41">
        <v>1704</v>
      </c>
      <c r="N60" s="41">
        <v>1610</v>
      </c>
      <c r="O60" s="41">
        <v>1738</v>
      </c>
      <c r="P60" s="41">
        <v>1771</v>
      </c>
      <c r="Q60" s="41">
        <v>1568</v>
      </c>
      <c r="R60" s="41">
        <v>1557</v>
      </c>
      <c r="S60" s="41">
        <v>1876</v>
      </c>
      <c r="T60" s="41">
        <v>1893</v>
      </c>
      <c r="U60" s="41">
        <v>2243</v>
      </c>
      <c r="V60" s="41">
        <v>2350</v>
      </c>
      <c r="W60" s="41">
        <v>2293</v>
      </c>
      <c r="X60" s="41">
        <v>2099</v>
      </c>
      <c r="Y60" s="41">
        <v>1629</v>
      </c>
      <c r="Z60" s="1">
        <v>1785</v>
      </c>
      <c r="AA60" s="1">
        <v>1892</v>
      </c>
      <c r="AB60" s="1">
        <v>1856</v>
      </c>
      <c r="AC60" s="1">
        <v>1948</v>
      </c>
      <c r="AD60" s="1">
        <v>1937</v>
      </c>
      <c r="AE60" s="1">
        <v>1978</v>
      </c>
      <c r="AF60" s="1">
        <v>2096</v>
      </c>
      <c r="AG60" s="1">
        <v>1992</v>
      </c>
      <c r="AH60" s="1">
        <v>1998</v>
      </c>
    </row>
    <row r="61" spans="1:34">
      <c r="A61" s="37" t="s">
        <v>153</v>
      </c>
      <c r="B61" s="41"/>
      <c r="C61" s="41"/>
      <c r="D61" s="41"/>
      <c r="E61" s="41"/>
      <c r="F61" s="41"/>
      <c r="G61" s="41">
        <v>150</v>
      </c>
      <c r="H61" s="41"/>
      <c r="I61" s="41"/>
      <c r="J61" s="41">
        <v>156</v>
      </c>
      <c r="K61" s="41">
        <v>175</v>
      </c>
      <c r="L61" s="41">
        <v>151</v>
      </c>
      <c r="M61" s="41">
        <v>209</v>
      </c>
      <c r="N61" s="41">
        <v>209</v>
      </c>
      <c r="O61" s="41">
        <v>157</v>
      </c>
      <c r="P61" s="41">
        <v>163</v>
      </c>
      <c r="Q61" s="41">
        <v>168</v>
      </c>
      <c r="R61" s="41">
        <v>144</v>
      </c>
      <c r="S61" s="41">
        <v>166</v>
      </c>
      <c r="T61" s="41">
        <v>86</v>
      </c>
      <c r="U61" s="41">
        <v>129</v>
      </c>
      <c r="V61" s="41">
        <v>143</v>
      </c>
      <c r="W61" s="41">
        <v>178</v>
      </c>
      <c r="X61" s="41">
        <v>167</v>
      </c>
      <c r="Y61" s="41">
        <v>167</v>
      </c>
      <c r="Z61" s="1">
        <v>182</v>
      </c>
      <c r="AA61" s="1">
        <v>198</v>
      </c>
      <c r="AB61" s="1">
        <v>191</v>
      </c>
      <c r="AC61" s="1">
        <v>214</v>
      </c>
      <c r="AD61" s="1">
        <v>186</v>
      </c>
      <c r="AE61" s="1">
        <v>208</v>
      </c>
      <c r="AF61" s="1">
        <v>210</v>
      </c>
      <c r="AG61" s="1">
        <v>227</v>
      </c>
      <c r="AH61" s="1">
        <v>236</v>
      </c>
    </row>
    <row r="62" spans="1:34">
      <c r="A62" s="42" t="s">
        <v>156</v>
      </c>
      <c r="B62" s="43"/>
      <c r="C62" s="43"/>
      <c r="D62" s="43"/>
      <c r="E62" s="43"/>
      <c r="F62" s="43"/>
      <c r="G62" s="43">
        <v>33</v>
      </c>
      <c r="H62" s="43"/>
      <c r="I62" s="43"/>
      <c r="J62" s="43">
        <v>43</v>
      </c>
      <c r="K62" s="43">
        <v>46</v>
      </c>
      <c r="L62" s="43">
        <v>49</v>
      </c>
      <c r="M62" s="43">
        <v>50</v>
      </c>
      <c r="N62" s="43">
        <v>53</v>
      </c>
      <c r="O62" s="43">
        <v>36</v>
      </c>
      <c r="P62" s="43">
        <v>51</v>
      </c>
      <c r="Q62" s="43">
        <v>54</v>
      </c>
      <c r="R62" s="43">
        <v>30</v>
      </c>
      <c r="S62" s="43">
        <v>49</v>
      </c>
      <c r="T62" s="43">
        <v>51</v>
      </c>
      <c r="U62" s="43">
        <v>44</v>
      </c>
      <c r="V62" s="43">
        <v>48</v>
      </c>
      <c r="W62" s="43">
        <v>68</v>
      </c>
      <c r="X62" s="43">
        <v>52</v>
      </c>
      <c r="Y62" s="43">
        <v>59</v>
      </c>
      <c r="Z62" s="1">
        <v>45</v>
      </c>
      <c r="AA62" s="6">
        <v>44</v>
      </c>
      <c r="AB62" s="1">
        <v>64</v>
      </c>
      <c r="AC62" s="1">
        <v>56</v>
      </c>
      <c r="AD62" s="1">
        <v>70</v>
      </c>
      <c r="AE62" s="1">
        <v>63</v>
      </c>
      <c r="AF62" s="1">
        <v>62</v>
      </c>
      <c r="AG62" s="1">
        <v>47</v>
      </c>
      <c r="AH62" s="1">
        <v>72</v>
      </c>
    </row>
    <row r="63" spans="1:34">
      <c r="A63" s="45" t="s">
        <v>130</v>
      </c>
      <c r="B63" s="44"/>
      <c r="C63" s="44"/>
      <c r="D63" s="44"/>
      <c r="E63" s="44"/>
      <c r="F63" s="44"/>
      <c r="G63" s="44">
        <v>388</v>
      </c>
      <c r="H63" s="44"/>
      <c r="I63" s="44"/>
      <c r="J63" s="44">
        <v>345</v>
      </c>
      <c r="K63" s="44">
        <v>383</v>
      </c>
      <c r="L63" s="44">
        <v>341</v>
      </c>
      <c r="M63" s="44">
        <v>346</v>
      </c>
      <c r="N63" s="44">
        <v>388</v>
      </c>
      <c r="O63" s="44">
        <v>392</v>
      </c>
      <c r="P63" s="44">
        <v>424</v>
      </c>
      <c r="Q63" s="44">
        <v>417</v>
      </c>
      <c r="R63" s="44">
        <v>442</v>
      </c>
      <c r="S63" s="44">
        <v>428</v>
      </c>
      <c r="T63" s="44">
        <v>445</v>
      </c>
      <c r="U63" s="44">
        <v>474</v>
      </c>
      <c r="V63" s="44">
        <v>435</v>
      </c>
      <c r="W63" s="44">
        <v>446</v>
      </c>
      <c r="X63" s="44">
        <v>520</v>
      </c>
      <c r="Y63" s="44">
        <v>338</v>
      </c>
      <c r="Z63" s="44">
        <v>357</v>
      </c>
      <c r="AA63" s="6">
        <v>446</v>
      </c>
      <c r="AB63" s="97">
        <v>462</v>
      </c>
      <c r="AC63" s="97">
        <v>460</v>
      </c>
      <c r="AD63" s="97">
        <v>465</v>
      </c>
      <c r="AE63" s="44">
        <v>476</v>
      </c>
      <c r="AF63" s="44">
        <v>488</v>
      </c>
      <c r="AG63" s="44">
        <v>468</v>
      </c>
      <c r="AH63" s="44">
        <v>453</v>
      </c>
    </row>
    <row r="64" spans="1:34">
      <c r="J64" s="4"/>
      <c r="K64" s="4"/>
      <c r="AE64" s="3"/>
      <c r="AF64" s="3"/>
      <c r="AG64" s="3"/>
      <c r="AH64" s="3"/>
    </row>
    <row r="65" spans="2:34">
      <c r="B65" s="1" t="s">
        <v>31</v>
      </c>
      <c r="C65" s="1" t="s">
        <v>31</v>
      </c>
      <c r="D65" s="1" t="s">
        <v>31</v>
      </c>
      <c r="E65" s="1" t="s">
        <v>31</v>
      </c>
      <c r="F65" s="1" t="s">
        <v>31</v>
      </c>
      <c r="G65" s="1" t="s">
        <v>101</v>
      </c>
      <c r="H65" s="1" t="s">
        <v>31</v>
      </c>
      <c r="I65" s="1" t="s">
        <v>31</v>
      </c>
      <c r="J65" s="1" t="s">
        <v>101</v>
      </c>
      <c r="K65" s="1" t="s">
        <v>101</v>
      </c>
      <c r="L65" s="1" t="s">
        <v>101</v>
      </c>
      <c r="M65" s="1" t="s">
        <v>101</v>
      </c>
      <c r="N65" s="1" t="s">
        <v>101</v>
      </c>
      <c r="O65" s="1" t="s">
        <v>101</v>
      </c>
      <c r="P65" s="1" t="s">
        <v>101</v>
      </c>
      <c r="Q65" s="1" t="s">
        <v>101</v>
      </c>
      <c r="R65" s="1" t="s">
        <v>73</v>
      </c>
      <c r="X65" s="3" t="s">
        <v>73</v>
      </c>
      <c r="Y65" s="3"/>
      <c r="AE65" s="3"/>
      <c r="AF65" s="3"/>
      <c r="AG65" s="3"/>
      <c r="AH65" s="3" t="s">
        <v>73</v>
      </c>
    </row>
    <row r="66" spans="2:34">
      <c r="B66" s="1" t="s">
        <v>114</v>
      </c>
      <c r="C66" s="1" t="s">
        <v>114</v>
      </c>
      <c r="D66" s="1" t="s">
        <v>114</v>
      </c>
      <c r="E66" s="1" t="s">
        <v>114</v>
      </c>
      <c r="F66" s="1" t="s">
        <v>114</v>
      </c>
      <c r="G66" s="1" t="s">
        <v>31</v>
      </c>
      <c r="H66" s="1" t="s">
        <v>114</v>
      </c>
      <c r="I66" s="1" t="s">
        <v>114</v>
      </c>
      <c r="J66" s="1" t="s">
        <v>31</v>
      </c>
      <c r="K66" s="1" t="s">
        <v>31</v>
      </c>
      <c r="L66" s="1" t="s">
        <v>31</v>
      </c>
      <c r="M66" s="1" t="s">
        <v>31</v>
      </c>
      <c r="N66" s="1" t="s">
        <v>31</v>
      </c>
      <c r="O66" s="1" t="s">
        <v>31</v>
      </c>
      <c r="P66" s="1" t="s">
        <v>31</v>
      </c>
      <c r="Q66" s="1" t="s">
        <v>31</v>
      </c>
      <c r="R66" s="1" t="s">
        <v>168</v>
      </c>
      <c r="X66" s="1" t="s">
        <v>168</v>
      </c>
      <c r="AE66" s="3"/>
      <c r="AF66" s="3"/>
      <c r="AG66" s="3"/>
      <c r="AH66" s="1" t="s">
        <v>168</v>
      </c>
    </row>
    <row r="67" spans="2:34">
      <c r="B67" s="1" t="s">
        <v>52</v>
      </c>
      <c r="C67" s="1" t="s">
        <v>52</v>
      </c>
      <c r="D67" s="1" t="s">
        <v>52</v>
      </c>
      <c r="E67" s="1" t="s">
        <v>52</v>
      </c>
      <c r="F67" s="1" t="s">
        <v>52</v>
      </c>
      <c r="G67" s="1" t="s">
        <v>33</v>
      </c>
      <c r="H67" s="1" t="s">
        <v>52</v>
      </c>
      <c r="I67" s="1" t="s">
        <v>52</v>
      </c>
      <c r="J67" s="1" t="s">
        <v>33</v>
      </c>
      <c r="K67" s="1" t="s">
        <v>33</v>
      </c>
      <c r="L67" s="1" t="s">
        <v>33</v>
      </c>
      <c r="M67" s="1" t="s">
        <v>33</v>
      </c>
      <c r="N67" s="1" t="s">
        <v>33</v>
      </c>
      <c r="O67" s="1" t="s">
        <v>33</v>
      </c>
      <c r="P67" s="1" t="s">
        <v>33</v>
      </c>
      <c r="Q67" s="1" t="s">
        <v>33</v>
      </c>
      <c r="R67" s="1" t="s">
        <v>169</v>
      </c>
      <c r="X67" s="1" t="s">
        <v>169</v>
      </c>
      <c r="AE67" s="3"/>
      <c r="AF67" s="3"/>
      <c r="AG67" s="3"/>
      <c r="AH67" s="1" t="s">
        <v>169</v>
      </c>
    </row>
    <row r="68" spans="2:34">
      <c r="B68" s="1" t="s">
        <v>113</v>
      </c>
      <c r="C68" s="1" t="s">
        <v>113</v>
      </c>
      <c r="D68" s="1" t="s">
        <v>113</v>
      </c>
      <c r="E68" s="1" t="s">
        <v>113</v>
      </c>
      <c r="F68" s="1" t="s">
        <v>113</v>
      </c>
      <c r="G68" s="1" t="s">
        <v>102</v>
      </c>
      <c r="H68" s="1" t="s">
        <v>113</v>
      </c>
      <c r="I68" s="1" t="s">
        <v>113</v>
      </c>
      <c r="J68" s="1" t="s">
        <v>102</v>
      </c>
      <c r="K68" s="1" t="s">
        <v>102</v>
      </c>
      <c r="L68" s="1" t="s">
        <v>102</v>
      </c>
      <c r="M68" s="1" t="s">
        <v>102</v>
      </c>
      <c r="N68" s="1" t="s">
        <v>102</v>
      </c>
      <c r="O68" s="1" t="s">
        <v>102</v>
      </c>
      <c r="P68" s="1" t="s">
        <v>102</v>
      </c>
      <c r="Q68" s="1" t="s">
        <v>102</v>
      </c>
      <c r="R68" s="1" t="s">
        <v>37</v>
      </c>
      <c r="X68" s="1" t="s">
        <v>170</v>
      </c>
      <c r="AE68" s="3"/>
      <c r="AF68" s="3"/>
      <c r="AG68" s="3"/>
      <c r="AH68" s="1" t="s">
        <v>37</v>
      </c>
    </row>
    <row r="69" spans="2:34">
      <c r="B69" s="1" t="s">
        <v>112</v>
      </c>
      <c r="C69" s="1" t="s">
        <v>112</v>
      </c>
      <c r="D69" s="1" t="s">
        <v>112</v>
      </c>
      <c r="E69" s="1" t="s">
        <v>112</v>
      </c>
      <c r="F69" s="1" t="s">
        <v>112</v>
      </c>
      <c r="G69" s="1" t="s">
        <v>51</v>
      </c>
      <c r="H69" s="1" t="s">
        <v>112</v>
      </c>
      <c r="I69" s="1" t="s">
        <v>112</v>
      </c>
      <c r="J69" s="1" t="s">
        <v>51</v>
      </c>
      <c r="K69" s="1" t="s">
        <v>51</v>
      </c>
      <c r="L69" s="1" t="s">
        <v>51</v>
      </c>
      <c r="M69" s="1" t="s">
        <v>51</v>
      </c>
      <c r="N69" s="1" t="s">
        <v>51</v>
      </c>
      <c r="O69" s="1" t="s">
        <v>51</v>
      </c>
      <c r="P69" s="1" t="s">
        <v>51</v>
      </c>
      <c r="Q69" s="1" t="s">
        <v>51</v>
      </c>
      <c r="R69" s="1" t="s">
        <v>39</v>
      </c>
      <c r="X69" s="1" t="s">
        <v>39</v>
      </c>
      <c r="AE69" s="3"/>
      <c r="AF69" s="3"/>
      <c r="AG69" s="3"/>
      <c r="AH69" s="1" t="s">
        <v>39</v>
      </c>
    </row>
    <row r="70" spans="2:34">
      <c r="B70" s="1" t="s">
        <v>111</v>
      </c>
      <c r="C70" s="1" t="s">
        <v>110</v>
      </c>
      <c r="D70" s="1" t="s">
        <v>109</v>
      </c>
      <c r="E70" s="1" t="s">
        <v>108</v>
      </c>
      <c r="F70" s="1" t="s">
        <v>107</v>
      </c>
      <c r="G70" s="1" t="s">
        <v>103</v>
      </c>
      <c r="H70" s="1" t="s">
        <v>106</v>
      </c>
      <c r="I70" s="1" t="s">
        <v>40</v>
      </c>
      <c r="J70" s="1" t="s">
        <v>103</v>
      </c>
      <c r="K70" s="1" t="s">
        <v>103</v>
      </c>
      <c r="L70" s="1" t="s">
        <v>103</v>
      </c>
      <c r="M70" s="1" t="s">
        <v>103</v>
      </c>
      <c r="N70" s="1" t="s">
        <v>103</v>
      </c>
      <c r="O70" s="1" t="s">
        <v>103</v>
      </c>
      <c r="P70" s="1" t="s">
        <v>103</v>
      </c>
      <c r="Q70" s="1" t="s">
        <v>103</v>
      </c>
      <c r="R70" s="1" t="s">
        <v>171</v>
      </c>
      <c r="X70" s="1" t="s">
        <v>171</v>
      </c>
      <c r="AE70" s="3"/>
      <c r="AF70" s="3"/>
      <c r="AG70" s="3"/>
      <c r="AH70" s="1" t="s">
        <v>171</v>
      </c>
    </row>
    <row r="71" spans="2:34">
      <c r="G71" s="1" t="s">
        <v>104</v>
      </c>
      <c r="J71" s="1" t="s">
        <v>104</v>
      </c>
      <c r="K71" s="1" t="s">
        <v>104</v>
      </c>
      <c r="L71" s="1" t="s">
        <v>104</v>
      </c>
      <c r="M71" s="1" t="s">
        <v>104</v>
      </c>
      <c r="N71" s="1" t="s">
        <v>104</v>
      </c>
      <c r="O71" s="1" t="s">
        <v>104</v>
      </c>
      <c r="P71" s="1" t="s">
        <v>104</v>
      </c>
      <c r="Q71" s="1" t="s">
        <v>104</v>
      </c>
      <c r="R71" s="1" t="s">
        <v>172</v>
      </c>
      <c r="X71" s="1" t="s">
        <v>214</v>
      </c>
      <c r="AE71" s="3"/>
      <c r="AF71" s="3"/>
      <c r="AG71" s="3"/>
      <c r="AH71" s="1" t="s">
        <v>214</v>
      </c>
    </row>
    <row r="72" spans="2:34">
      <c r="G72" s="1" t="s">
        <v>10</v>
      </c>
      <c r="J72" s="1" t="s">
        <v>13</v>
      </c>
      <c r="K72" s="1" t="s">
        <v>65</v>
      </c>
      <c r="L72" s="1" t="s">
        <v>14</v>
      </c>
      <c r="M72" s="1" t="s">
        <v>66</v>
      </c>
      <c r="N72" s="1" t="s">
        <v>48</v>
      </c>
      <c r="O72" s="1" t="s">
        <v>77</v>
      </c>
      <c r="P72" s="1" t="s">
        <v>123</v>
      </c>
      <c r="Q72" s="1" t="s">
        <v>160</v>
      </c>
      <c r="R72" s="1" t="s">
        <v>173</v>
      </c>
      <c r="X72" s="1" t="s">
        <v>215</v>
      </c>
      <c r="AE72" s="3"/>
      <c r="AF72" s="3"/>
      <c r="AG72" s="3"/>
      <c r="AH72" s="1" t="s">
        <v>215</v>
      </c>
    </row>
    <row r="73" spans="2:34">
      <c r="R73" s="1" t="s">
        <v>174</v>
      </c>
      <c r="X73" s="1" t="s">
        <v>216</v>
      </c>
      <c r="AE73" s="3"/>
      <c r="AF73" s="3"/>
      <c r="AG73" s="3"/>
      <c r="AH73" s="1" t="s">
        <v>216</v>
      </c>
    </row>
    <row r="74" spans="2:34">
      <c r="R74" s="1" t="s">
        <v>175</v>
      </c>
      <c r="X74" s="1" t="s">
        <v>217</v>
      </c>
      <c r="AE74" s="3"/>
      <c r="AF74" s="3"/>
      <c r="AG74" s="3"/>
      <c r="AH74" s="1" t="s">
        <v>237</v>
      </c>
    </row>
    <row r="75" spans="2:34">
      <c r="R75" s="1" t="s">
        <v>176</v>
      </c>
      <c r="X75" s="1" t="s">
        <v>176</v>
      </c>
      <c r="AE75" s="3"/>
      <c r="AF75" s="3"/>
      <c r="AG75" s="3"/>
      <c r="AH75" s="1" t="s">
        <v>176</v>
      </c>
    </row>
    <row r="76" spans="2:34">
      <c r="AE76" s="3"/>
      <c r="AF76" s="3"/>
      <c r="AG76" s="3"/>
      <c r="AH76" s="3"/>
    </row>
    <row r="77" spans="2:34">
      <c r="AE77" s="3"/>
      <c r="AF77" s="3"/>
      <c r="AG77" s="3"/>
      <c r="AH77" s="3"/>
    </row>
    <row r="78" spans="2:34">
      <c r="AE78" s="3"/>
      <c r="AF78" s="3"/>
      <c r="AG78" s="3"/>
      <c r="AH78" s="3"/>
    </row>
    <row r="79" spans="2:34">
      <c r="AE79" s="3"/>
      <c r="AF79" s="3"/>
      <c r="AG79" s="3"/>
      <c r="AH79" s="3"/>
    </row>
    <row r="80" spans="2:34">
      <c r="AE80" s="3"/>
      <c r="AF80" s="3"/>
      <c r="AG80" s="3"/>
      <c r="AH80" s="3"/>
    </row>
    <row r="81" spans="31:34">
      <c r="AE81" s="3"/>
      <c r="AF81" s="3"/>
      <c r="AG81" s="3"/>
      <c r="AH81" s="3"/>
    </row>
    <row r="82" spans="31:34">
      <c r="AE82" s="3"/>
      <c r="AF82" s="3"/>
      <c r="AG82" s="3"/>
      <c r="AH82" s="3"/>
    </row>
    <row r="83" spans="31:34">
      <c r="AE83" s="3"/>
      <c r="AF83" s="3"/>
      <c r="AG83" s="3"/>
      <c r="AH83" s="3"/>
    </row>
    <row r="84" spans="31:34">
      <c r="AE84" s="3"/>
      <c r="AF84" s="3"/>
      <c r="AG84" s="3"/>
      <c r="AH84" s="3"/>
    </row>
  </sheetData>
  <phoneticPr fontId="8" type="noConversion"/>
  <hyperlinks>
    <hyperlink ref="X75" r:id="rId1" display="www.nces.ed.gov" xr:uid="{00000000-0004-0000-0400-000000000000}"/>
    <hyperlink ref="AH75" r:id="rId2" display="www.nces.ed.gov" xr:uid="{6DD703FD-FD31-41A3-A614-0E736AB71298}"/>
  </hyperlinks>
  <pageMargins left="0.75" right="0.75" top="1" bottom="1" header="0.5" footer="0.5"/>
  <pageSetup orientation="portrait" r:id="rId3"/>
  <headerFooter alignWithMargins="0"/>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62"/>
  </sheetPr>
  <dimension ref="A1:CE84"/>
  <sheetViews>
    <sheetView zoomScale="70" zoomScaleNormal="70" workbookViewId="0">
      <pane xSplit="1" ySplit="4" topLeftCell="B5" activePane="bottomRight" state="frozen"/>
      <selection pane="topRight" activeCell="B1" sqref="B1"/>
      <selection pane="bottomLeft" activeCell="A5" sqref="A5"/>
      <selection pane="bottomRight" activeCell="A25" sqref="A25:XFD25"/>
    </sheetView>
  </sheetViews>
  <sheetFormatPr defaultColWidth="9.1796875" defaultRowHeight="12.5"/>
  <cols>
    <col min="1" max="1" width="22.81640625" style="1" customWidth="1"/>
    <col min="2" max="2" width="9.453125" style="1" bestFit="1" customWidth="1"/>
    <col min="3" max="30" width="7.81640625" style="1" customWidth="1"/>
    <col min="31" max="34" width="8.81640625" style="1" customWidth="1"/>
    <col min="35" max="57" width="7.81640625" style="1" customWidth="1"/>
    <col min="58" max="58" width="20.1796875" style="1" bestFit="1" customWidth="1"/>
    <col min="59" max="79" width="7.81640625" style="1" customWidth="1"/>
    <col min="80" max="83" width="8.81640625" style="1" customWidth="1"/>
    <col min="84" max="127" width="7.81640625" style="1" customWidth="1"/>
    <col min="128" max="16384" width="9.1796875" style="1"/>
  </cols>
  <sheetData>
    <row r="1" spans="1:83" ht="13">
      <c r="A1" s="7" t="s">
        <v>105</v>
      </c>
      <c r="B1" s="57"/>
      <c r="AI1" s="57"/>
      <c r="AU1" s="57"/>
      <c r="BF1" s="57"/>
    </row>
    <row r="2" spans="1:83" ht="13">
      <c r="B2" s="58" t="s">
        <v>118</v>
      </c>
      <c r="C2" s="8"/>
      <c r="D2" s="8"/>
      <c r="E2" s="8"/>
      <c r="F2" s="8"/>
      <c r="G2" s="8"/>
      <c r="H2" s="8"/>
      <c r="I2" s="8"/>
      <c r="J2" s="8"/>
      <c r="K2" s="8"/>
      <c r="L2" s="8"/>
      <c r="M2" s="8"/>
      <c r="N2" s="8"/>
      <c r="O2" s="8"/>
      <c r="P2" s="8"/>
      <c r="Q2" s="8"/>
      <c r="R2" s="8"/>
      <c r="S2" s="8"/>
      <c r="T2" s="8"/>
      <c r="U2" s="8"/>
      <c r="V2" s="8"/>
      <c r="W2" s="8"/>
      <c r="X2" s="8"/>
      <c r="Y2" s="8"/>
      <c r="Z2" s="8"/>
      <c r="AA2" s="8"/>
      <c r="AB2" s="8"/>
      <c r="AC2" s="8"/>
      <c r="AD2" s="8"/>
      <c r="AG2" s="112"/>
      <c r="AH2" s="112"/>
      <c r="AI2" s="58" t="s">
        <v>117</v>
      </c>
      <c r="AK2" s="8"/>
      <c r="AL2" s="8"/>
      <c r="AM2" s="8"/>
      <c r="AN2" s="8"/>
      <c r="AO2" s="8"/>
      <c r="AP2" s="8"/>
      <c r="AQ2" s="8"/>
      <c r="AR2" s="8"/>
      <c r="AS2" s="8"/>
      <c r="AT2" s="8"/>
      <c r="AU2" s="58" t="s">
        <v>116</v>
      </c>
      <c r="AW2" s="8"/>
      <c r="AX2" s="8"/>
      <c r="AY2" s="8"/>
      <c r="AZ2" s="8"/>
      <c r="BA2" s="8"/>
      <c r="BB2" s="8"/>
      <c r="BF2" s="58" t="s">
        <v>119</v>
      </c>
      <c r="BG2" s="8"/>
      <c r="BH2" s="8"/>
      <c r="BI2" s="8"/>
      <c r="BJ2" s="8"/>
      <c r="BK2" s="8"/>
      <c r="CD2" s="6"/>
      <c r="CE2" s="6"/>
    </row>
    <row r="3" spans="1:83" s="7" customFormat="1" ht="13">
      <c r="B3" s="87" t="s">
        <v>6</v>
      </c>
      <c r="C3" s="31" t="s">
        <v>7</v>
      </c>
      <c r="D3" s="31" t="s">
        <v>8</v>
      </c>
      <c r="E3" s="31" t="s">
        <v>59</v>
      </c>
      <c r="F3" s="31" t="s">
        <v>61</v>
      </c>
      <c r="G3" s="31" t="s">
        <v>10</v>
      </c>
      <c r="H3" s="31" t="s">
        <v>11</v>
      </c>
      <c r="I3" s="31" t="s">
        <v>12</v>
      </c>
      <c r="J3" s="31" t="s">
        <v>13</v>
      </c>
      <c r="K3" s="31" t="s">
        <v>65</v>
      </c>
      <c r="L3" s="31" t="s">
        <v>14</v>
      </c>
      <c r="M3" s="31" t="s">
        <v>66</v>
      </c>
      <c r="N3" s="31" t="s">
        <v>48</v>
      </c>
      <c r="O3" s="31" t="s">
        <v>77</v>
      </c>
      <c r="P3" s="31" t="s">
        <v>123</v>
      </c>
      <c r="Q3" s="31" t="s">
        <v>160</v>
      </c>
      <c r="R3" s="31" t="s">
        <v>167</v>
      </c>
      <c r="S3" s="31" t="s">
        <v>178</v>
      </c>
      <c r="T3" s="31" t="s">
        <v>179</v>
      </c>
      <c r="U3" s="31" t="s">
        <v>181</v>
      </c>
      <c r="V3" s="31" t="s">
        <v>192</v>
      </c>
      <c r="W3" s="31" t="s">
        <v>205</v>
      </c>
      <c r="X3" s="31" t="s">
        <v>207</v>
      </c>
      <c r="Y3" s="31" t="s">
        <v>222</v>
      </c>
      <c r="Z3" s="31" t="s">
        <v>223</v>
      </c>
      <c r="AA3" s="31" t="s">
        <v>224</v>
      </c>
      <c r="AB3" s="31" t="s">
        <v>226</v>
      </c>
      <c r="AC3" s="119" t="s">
        <v>228</v>
      </c>
      <c r="AD3" s="31" t="s">
        <v>229</v>
      </c>
      <c r="AE3" s="118" t="s">
        <v>231</v>
      </c>
      <c r="AF3" s="118" t="s">
        <v>232</v>
      </c>
      <c r="AG3" s="95" t="s">
        <v>235</v>
      </c>
      <c r="AH3" s="95" t="s">
        <v>236</v>
      </c>
      <c r="AI3" s="87" t="s">
        <v>61</v>
      </c>
      <c r="AJ3" s="31" t="s">
        <v>10</v>
      </c>
      <c r="AK3" s="31" t="s">
        <v>11</v>
      </c>
      <c r="AL3" s="31" t="s">
        <v>12</v>
      </c>
      <c r="AM3" s="31" t="s">
        <v>13</v>
      </c>
      <c r="AN3" s="31" t="s">
        <v>65</v>
      </c>
      <c r="AO3" s="31" t="s">
        <v>14</v>
      </c>
      <c r="AP3" s="31" t="s">
        <v>66</v>
      </c>
      <c r="AQ3" s="31" t="s">
        <v>48</v>
      </c>
      <c r="AR3" s="31" t="s">
        <v>77</v>
      </c>
      <c r="AS3" s="31" t="s">
        <v>123</v>
      </c>
      <c r="AT3" s="31" t="s">
        <v>160</v>
      </c>
      <c r="AU3" s="87" t="s">
        <v>10</v>
      </c>
      <c r="AV3" s="31" t="s">
        <v>11</v>
      </c>
      <c r="AW3" s="31" t="s">
        <v>12</v>
      </c>
      <c r="AX3" s="31" t="s">
        <v>13</v>
      </c>
      <c r="AY3" s="31" t="s">
        <v>65</v>
      </c>
      <c r="AZ3" s="31" t="s">
        <v>14</v>
      </c>
      <c r="BA3" s="31" t="s">
        <v>66</v>
      </c>
      <c r="BB3" s="31" t="s">
        <v>48</v>
      </c>
      <c r="BC3" s="31" t="s">
        <v>77</v>
      </c>
      <c r="BD3" s="31" t="s">
        <v>123</v>
      </c>
      <c r="BE3" s="31" t="s">
        <v>160</v>
      </c>
      <c r="BF3" s="114" t="s">
        <v>10</v>
      </c>
      <c r="BG3" s="115" t="s">
        <v>13</v>
      </c>
      <c r="BH3" s="115" t="s">
        <v>65</v>
      </c>
      <c r="BI3" s="115" t="s">
        <v>14</v>
      </c>
      <c r="BJ3" s="115" t="s">
        <v>66</v>
      </c>
      <c r="BK3" s="115" t="s">
        <v>48</v>
      </c>
      <c r="BL3" s="115" t="s">
        <v>77</v>
      </c>
      <c r="BM3" s="115" t="s">
        <v>123</v>
      </c>
      <c r="BN3" s="115" t="s">
        <v>160</v>
      </c>
      <c r="BO3" s="31" t="s">
        <v>167</v>
      </c>
      <c r="BP3" s="31" t="s">
        <v>178</v>
      </c>
      <c r="BQ3" s="31" t="s">
        <v>179</v>
      </c>
      <c r="BR3" s="31" t="s">
        <v>181</v>
      </c>
      <c r="BS3" s="31" t="s">
        <v>192</v>
      </c>
      <c r="BT3" s="31" t="s">
        <v>205</v>
      </c>
      <c r="BU3" s="31" t="s">
        <v>207</v>
      </c>
      <c r="BV3" s="31" t="s">
        <v>222</v>
      </c>
      <c r="BW3" s="31" t="s">
        <v>223</v>
      </c>
      <c r="BX3" s="116" t="s">
        <v>224</v>
      </c>
      <c r="BY3" s="116" t="s">
        <v>226</v>
      </c>
      <c r="BZ3" s="125" t="s">
        <v>228</v>
      </c>
      <c r="CA3" s="116" t="s">
        <v>229</v>
      </c>
      <c r="CB3" s="118" t="s">
        <v>231</v>
      </c>
      <c r="CC3" s="118" t="s">
        <v>232</v>
      </c>
      <c r="CD3" s="110" t="s">
        <v>235</v>
      </c>
      <c r="CE3" s="110" t="s">
        <v>236</v>
      </c>
    </row>
    <row r="4" spans="1:83">
      <c r="A4" s="35" t="s">
        <v>208</v>
      </c>
      <c r="B4" s="59">
        <v>1253</v>
      </c>
      <c r="C4" s="36">
        <v>1268</v>
      </c>
      <c r="D4" s="36">
        <v>1265</v>
      </c>
      <c r="E4" s="36">
        <v>1129</v>
      </c>
      <c r="F4" s="36">
        <f>1049+105</f>
        <v>1154</v>
      </c>
      <c r="G4" s="36">
        <f>G5+G23+G38+G52+G63</f>
        <v>1016</v>
      </c>
      <c r="H4" s="36">
        <f>608+425</f>
        <v>1033</v>
      </c>
      <c r="I4" s="36">
        <f>624+476</f>
        <v>1100</v>
      </c>
      <c r="J4" s="36">
        <f t="shared" ref="J4:X4" si="0">J5+J23+J38+J52+J63</f>
        <v>1202</v>
      </c>
      <c r="K4" s="36">
        <f t="shared" si="0"/>
        <v>1320</v>
      </c>
      <c r="L4" s="36">
        <f t="shared" si="0"/>
        <v>1344</v>
      </c>
      <c r="M4" s="36">
        <f t="shared" si="0"/>
        <v>1606</v>
      </c>
      <c r="N4" s="36">
        <f t="shared" si="0"/>
        <v>1563</v>
      </c>
      <c r="O4" s="36">
        <f t="shared" si="0"/>
        <v>1786</v>
      </c>
      <c r="P4" s="36">
        <f t="shared" si="0"/>
        <v>1984</v>
      </c>
      <c r="Q4" s="36">
        <f t="shared" si="0"/>
        <v>2147</v>
      </c>
      <c r="R4" s="36">
        <f t="shared" si="0"/>
        <v>2361</v>
      </c>
      <c r="S4" s="36">
        <f t="shared" si="0"/>
        <v>2723</v>
      </c>
      <c r="T4" s="36">
        <f t="shared" si="0"/>
        <v>2847</v>
      </c>
      <c r="U4" s="36">
        <f t="shared" si="0"/>
        <v>2839</v>
      </c>
      <c r="V4" s="36">
        <f t="shared" si="0"/>
        <v>3452</v>
      </c>
      <c r="W4" s="36">
        <f t="shared" si="0"/>
        <v>3478</v>
      </c>
      <c r="X4" s="36">
        <f t="shared" si="0"/>
        <v>3645</v>
      </c>
      <c r="Y4" s="36">
        <f t="shared" ref="Y4:Z4" si="1">Y5+Y23+Y38+Y52+Y63</f>
        <v>3366</v>
      </c>
      <c r="Z4" s="36">
        <f t="shared" si="1"/>
        <v>3458</v>
      </c>
      <c r="AA4" s="36">
        <f t="shared" ref="AA4:AB4" si="2">AA5+AA23+AA38+AA52+AA63</f>
        <v>3647</v>
      </c>
      <c r="AB4" s="36">
        <f t="shared" si="2"/>
        <v>3771</v>
      </c>
      <c r="AC4" s="36">
        <f t="shared" ref="AC4:AH4" si="3">AC5+AC23+AC38+AC52+AC63</f>
        <v>3969</v>
      </c>
      <c r="AD4" s="36">
        <f t="shared" si="3"/>
        <v>4196</v>
      </c>
      <c r="AE4" s="36">
        <f t="shared" si="3"/>
        <v>4213</v>
      </c>
      <c r="AF4" s="36">
        <f t="shared" si="3"/>
        <v>4593</v>
      </c>
      <c r="AG4" s="36">
        <f t="shared" si="3"/>
        <v>4519</v>
      </c>
      <c r="AH4" s="36">
        <f t="shared" si="3"/>
        <v>4875</v>
      </c>
      <c r="AI4" s="59">
        <v>105</v>
      </c>
      <c r="AJ4" s="36">
        <f>AJ5+AJ23+AJ38+AJ52+AJ63</f>
        <v>114</v>
      </c>
      <c r="AK4" s="36">
        <v>112</v>
      </c>
      <c r="AL4" s="36">
        <v>143</v>
      </c>
      <c r="AM4" s="36">
        <f t="shared" ref="AM4:AU4" si="4">AM5+AM23+AM38+AM52+AM63</f>
        <v>119</v>
      </c>
      <c r="AN4" s="36">
        <f t="shared" si="4"/>
        <v>128</v>
      </c>
      <c r="AO4" s="36">
        <f t="shared" si="4"/>
        <v>130</v>
      </c>
      <c r="AP4" s="36">
        <f t="shared" si="4"/>
        <v>142</v>
      </c>
      <c r="AQ4" s="36">
        <f t="shared" si="4"/>
        <v>166</v>
      </c>
      <c r="AR4" s="36">
        <f t="shared" si="4"/>
        <v>155</v>
      </c>
      <c r="AS4" s="36">
        <f t="shared" si="4"/>
        <v>260</v>
      </c>
      <c r="AT4" s="36">
        <f t="shared" si="4"/>
        <v>225</v>
      </c>
      <c r="AU4" s="59">
        <f t="shared" si="4"/>
        <v>114</v>
      </c>
      <c r="AV4" s="36">
        <v>112</v>
      </c>
      <c r="AW4" s="36">
        <v>143</v>
      </c>
      <c r="AX4" s="36">
        <f t="shared" ref="AX4:BQ4" si="5">AX5+AX23+AX38+AX52+AX63</f>
        <v>119</v>
      </c>
      <c r="AY4" s="36">
        <f t="shared" si="5"/>
        <v>128</v>
      </c>
      <c r="AZ4" s="36">
        <f t="shared" si="5"/>
        <v>130</v>
      </c>
      <c r="BA4" s="36">
        <f t="shared" si="5"/>
        <v>142</v>
      </c>
      <c r="BB4" s="36">
        <f t="shared" si="5"/>
        <v>166</v>
      </c>
      <c r="BC4" s="36">
        <f t="shared" si="5"/>
        <v>155</v>
      </c>
      <c r="BD4" s="36">
        <f t="shared" si="5"/>
        <v>260</v>
      </c>
      <c r="BE4" s="36">
        <f t="shared" si="5"/>
        <v>225</v>
      </c>
      <c r="BF4" s="59">
        <f t="shared" si="5"/>
        <v>114</v>
      </c>
      <c r="BG4" s="36">
        <f t="shared" si="5"/>
        <v>119</v>
      </c>
      <c r="BH4" s="36">
        <f t="shared" si="5"/>
        <v>128</v>
      </c>
      <c r="BI4" s="36">
        <f t="shared" si="5"/>
        <v>130</v>
      </c>
      <c r="BJ4" s="36">
        <f t="shared" si="5"/>
        <v>142</v>
      </c>
      <c r="BK4" s="36">
        <f t="shared" si="5"/>
        <v>166</v>
      </c>
      <c r="BL4" s="36">
        <f t="shared" si="5"/>
        <v>155</v>
      </c>
      <c r="BM4" s="36">
        <f t="shared" si="5"/>
        <v>260</v>
      </c>
      <c r="BN4" s="36">
        <f t="shared" si="5"/>
        <v>225</v>
      </c>
      <c r="BO4" s="36">
        <f t="shared" si="5"/>
        <v>256</v>
      </c>
      <c r="BP4" s="36">
        <f t="shared" si="5"/>
        <v>257</v>
      </c>
      <c r="BQ4" s="36">
        <f t="shared" si="5"/>
        <v>308</v>
      </c>
      <c r="BR4" s="36">
        <f>BR5+BR23+BR38+BR52+BR63</f>
        <v>353</v>
      </c>
      <c r="BS4" s="36">
        <f t="shared" ref="BS4:BU4" si="6">BS5+BS23+BS38+BS52+BS63</f>
        <v>484</v>
      </c>
      <c r="BT4" s="36">
        <f t="shared" si="6"/>
        <v>409</v>
      </c>
      <c r="BU4" s="36">
        <f t="shared" si="6"/>
        <v>470</v>
      </c>
      <c r="BV4" s="36">
        <f t="shared" ref="BV4:BW4" si="7">BV5+BV23+BV38+BV52+BV63</f>
        <v>308</v>
      </c>
      <c r="BW4" s="36">
        <f t="shared" si="7"/>
        <v>323</v>
      </c>
      <c r="BX4" s="36">
        <f t="shared" ref="BX4:BY4" si="8">BX5+BX23+BX38+BX52+BX63</f>
        <v>363</v>
      </c>
      <c r="BY4" s="36">
        <f t="shared" si="8"/>
        <v>519</v>
      </c>
      <c r="BZ4" s="36">
        <f t="shared" ref="BZ4:CE4" si="9">BZ5+BZ23+BZ38+BZ52+BZ63</f>
        <v>667</v>
      </c>
      <c r="CA4" s="36">
        <f t="shared" si="9"/>
        <v>454</v>
      </c>
      <c r="CB4" s="36">
        <f t="shared" si="9"/>
        <v>544</v>
      </c>
      <c r="CC4" s="36">
        <f t="shared" si="9"/>
        <v>633</v>
      </c>
      <c r="CD4" s="36">
        <f t="shared" si="9"/>
        <v>461</v>
      </c>
      <c r="CE4" s="36">
        <f t="shared" si="9"/>
        <v>491</v>
      </c>
    </row>
    <row r="5" spans="1:83">
      <c r="A5" s="37" t="s">
        <v>50</v>
      </c>
      <c r="B5" s="60">
        <f t="shared" ref="B5:BU5" si="10">SUM(B7:B22)</f>
        <v>322</v>
      </c>
      <c r="C5" s="38">
        <f t="shared" si="10"/>
        <v>353</v>
      </c>
      <c r="D5" s="38">
        <f t="shared" si="10"/>
        <v>356</v>
      </c>
      <c r="E5" s="38">
        <f t="shared" si="10"/>
        <v>344</v>
      </c>
      <c r="F5" s="38">
        <f t="shared" si="10"/>
        <v>363</v>
      </c>
      <c r="G5" s="38">
        <f t="shared" si="10"/>
        <v>366</v>
      </c>
      <c r="H5" s="38">
        <f t="shared" si="10"/>
        <v>400</v>
      </c>
      <c r="I5" s="38">
        <f t="shared" si="10"/>
        <v>432</v>
      </c>
      <c r="J5" s="38">
        <f t="shared" si="10"/>
        <v>463</v>
      </c>
      <c r="K5" s="38">
        <f t="shared" si="10"/>
        <v>505</v>
      </c>
      <c r="L5" s="38">
        <f t="shared" si="10"/>
        <v>500</v>
      </c>
      <c r="M5" s="38">
        <f t="shared" si="10"/>
        <v>632</v>
      </c>
      <c r="N5" s="38">
        <f t="shared" si="10"/>
        <v>568</v>
      </c>
      <c r="O5" s="38">
        <f t="shared" si="10"/>
        <v>673</v>
      </c>
      <c r="P5" s="38">
        <f t="shared" si="10"/>
        <v>807</v>
      </c>
      <c r="Q5" s="38">
        <f t="shared" si="10"/>
        <v>891</v>
      </c>
      <c r="R5" s="38">
        <f t="shared" si="10"/>
        <v>1052</v>
      </c>
      <c r="S5" s="38">
        <f t="shared" si="10"/>
        <v>1298</v>
      </c>
      <c r="T5" s="38">
        <f t="shared" si="10"/>
        <v>1432</v>
      </c>
      <c r="U5" s="38">
        <f t="shared" si="10"/>
        <v>1369</v>
      </c>
      <c r="V5" s="38">
        <f t="shared" si="10"/>
        <v>1663</v>
      </c>
      <c r="W5" s="38">
        <f t="shared" si="10"/>
        <v>1647</v>
      </c>
      <c r="X5" s="38">
        <f t="shared" si="10"/>
        <v>1736</v>
      </c>
      <c r="Y5" s="38">
        <f t="shared" ref="Y5:Z5" si="11">SUM(Y7:Y22)</f>
        <v>1633</v>
      </c>
      <c r="Z5" s="38">
        <f t="shared" si="11"/>
        <v>1740</v>
      </c>
      <c r="AA5" s="38">
        <f t="shared" ref="AA5:AB5" si="12">SUM(AA7:AA22)</f>
        <v>1859</v>
      </c>
      <c r="AB5" s="38">
        <f t="shared" si="12"/>
        <v>1936</v>
      </c>
      <c r="AC5" s="38">
        <f t="shared" ref="AC5:AH5" si="13">SUM(AC7:AC22)</f>
        <v>2094</v>
      </c>
      <c r="AD5" s="38">
        <f t="shared" si="13"/>
        <v>2284</v>
      </c>
      <c r="AE5" s="38">
        <f t="shared" si="13"/>
        <v>2221</v>
      </c>
      <c r="AF5" s="38">
        <f t="shared" si="13"/>
        <v>2482</v>
      </c>
      <c r="AG5" s="38">
        <f t="shared" si="13"/>
        <v>2390</v>
      </c>
      <c r="AH5" s="38">
        <f t="shared" si="13"/>
        <v>2484</v>
      </c>
      <c r="AI5" s="60">
        <f t="shared" si="10"/>
        <v>53</v>
      </c>
      <c r="AJ5" s="38">
        <f t="shared" si="10"/>
        <v>68</v>
      </c>
      <c r="AK5" s="38">
        <f t="shared" si="10"/>
        <v>66</v>
      </c>
      <c r="AL5" s="38">
        <f t="shared" si="10"/>
        <v>97</v>
      </c>
      <c r="AM5" s="38">
        <f t="shared" si="10"/>
        <v>69</v>
      </c>
      <c r="AN5" s="38">
        <f t="shared" si="10"/>
        <v>75</v>
      </c>
      <c r="AO5" s="38">
        <f t="shared" si="10"/>
        <v>81</v>
      </c>
      <c r="AP5" s="38">
        <f t="shared" si="10"/>
        <v>93</v>
      </c>
      <c r="AQ5" s="38">
        <f t="shared" si="10"/>
        <v>102</v>
      </c>
      <c r="AR5" s="38">
        <f t="shared" si="10"/>
        <v>92</v>
      </c>
      <c r="AS5" s="38">
        <f t="shared" si="10"/>
        <v>196</v>
      </c>
      <c r="AT5" s="38">
        <f t="shared" si="10"/>
        <v>145</v>
      </c>
      <c r="AU5" s="60">
        <f t="shared" si="10"/>
        <v>68</v>
      </c>
      <c r="AV5" s="38">
        <f t="shared" si="10"/>
        <v>66</v>
      </c>
      <c r="AW5" s="38">
        <f t="shared" si="10"/>
        <v>97</v>
      </c>
      <c r="AX5" s="38">
        <f t="shared" si="10"/>
        <v>69</v>
      </c>
      <c r="AY5" s="38">
        <f t="shared" si="10"/>
        <v>75</v>
      </c>
      <c r="AZ5" s="38">
        <f t="shared" si="10"/>
        <v>81</v>
      </c>
      <c r="BA5" s="38">
        <f t="shared" si="10"/>
        <v>93</v>
      </c>
      <c r="BB5" s="38">
        <f t="shared" si="10"/>
        <v>102</v>
      </c>
      <c r="BC5" s="38">
        <f t="shared" si="10"/>
        <v>92</v>
      </c>
      <c r="BD5" s="38">
        <f t="shared" si="10"/>
        <v>196</v>
      </c>
      <c r="BE5" s="38">
        <f t="shared" si="10"/>
        <v>145</v>
      </c>
      <c r="BF5" s="60">
        <f t="shared" si="10"/>
        <v>68</v>
      </c>
      <c r="BG5" s="38">
        <f t="shared" si="10"/>
        <v>69</v>
      </c>
      <c r="BH5" s="38">
        <f t="shared" si="10"/>
        <v>75</v>
      </c>
      <c r="BI5" s="38">
        <f t="shared" si="10"/>
        <v>81</v>
      </c>
      <c r="BJ5" s="38">
        <f t="shared" si="10"/>
        <v>93</v>
      </c>
      <c r="BK5" s="38">
        <f t="shared" si="10"/>
        <v>102</v>
      </c>
      <c r="BL5" s="38">
        <f t="shared" si="10"/>
        <v>92</v>
      </c>
      <c r="BM5" s="38">
        <f t="shared" si="10"/>
        <v>196</v>
      </c>
      <c r="BN5" s="38">
        <f t="shared" si="10"/>
        <v>145</v>
      </c>
      <c r="BO5" s="38">
        <f t="shared" si="10"/>
        <v>185</v>
      </c>
      <c r="BP5" s="38">
        <f t="shared" si="10"/>
        <v>180</v>
      </c>
      <c r="BQ5" s="38">
        <f t="shared" si="10"/>
        <v>220</v>
      </c>
      <c r="BR5" s="38">
        <f t="shared" si="10"/>
        <v>226</v>
      </c>
      <c r="BS5" s="38">
        <f t="shared" si="10"/>
        <v>385</v>
      </c>
      <c r="BT5" s="38">
        <f t="shared" si="10"/>
        <v>287</v>
      </c>
      <c r="BU5" s="38">
        <f t="shared" si="10"/>
        <v>366</v>
      </c>
      <c r="BV5" s="38">
        <f t="shared" ref="BV5:BW5" si="14">SUM(BV7:BV22)</f>
        <v>306</v>
      </c>
      <c r="BW5" s="38">
        <f t="shared" si="14"/>
        <v>259</v>
      </c>
      <c r="BX5" s="38">
        <f t="shared" ref="BX5:BY5" si="15">SUM(BX7:BX22)</f>
        <v>282</v>
      </c>
      <c r="BY5" s="38">
        <f t="shared" si="15"/>
        <v>395</v>
      </c>
      <c r="BZ5" s="38">
        <f t="shared" ref="BZ5:CE5" si="16">SUM(BZ7:BZ22)</f>
        <v>518</v>
      </c>
      <c r="CA5" s="38">
        <f t="shared" si="16"/>
        <v>346</v>
      </c>
      <c r="CB5" s="38">
        <f t="shared" si="16"/>
        <v>424</v>
      </c>
      <c r="CC5" s="38">
        <f t="shared" si="16"/>
        <v>503</v>
      </c>
      <c r="CD5" s="38">
        <f t="shared" si="16"/>
        <v>356</v>
      </c>
      <c r="CE5" s="38">
        <f t="shared" si="16"/>
        <v>399</v>
      </c>
    </row>
    <row r="6" spans="1:83" s="11" customFormat="1">
      <c r="A6" s="39" t="s">
        <v>213</v>
      </c>
      <c r="B6" s="61">
        <f t="shared" ref="B6:BU6" si="17">(B5/B4)*100</f>
        <v>25.69832402234637</v>
      </c>
      <c r="C6" s="40">
        <f t="shared" si="17"/>
        <v>27.839116719242902</v>
      </c>
      <c r="D6" s="40">
        <f t="shared" si="17"/>
        <v>28.142292490118574</v>
      </c>
      <c r="E6" s="40">
        <f t="shared" si="17"/>
        <v>30.46944198405669</v>
      </c>
      <c r="F6" s="40">
        <f t="shared" si="17"/>
        <v>31.455805892547662</v>
      </c>
      <c r="G6" s="40">
        <f t="shared" si="17"/>
        <v>36.023622047244096</v>
      </c>
      <c r="H6" s="40">
        <f t="shared" si="17"/>
        <v>38.722168441432721</v>
      </c>
      <c r="I6" s="40">
        <f t="shared" si="17"/>
        <v>39.272727272727273</v>
      </c>
      <c r="J6" s="40">
        <f t="shared" si="17"/>
        <v>38.519134775374376</v>
      </c>
      <c r="K6" s="40">
        <f t="shared" si="17"/>
        <v>38.257575757575758</v>
      </c>
      <c r="L6" s="40">
        <f t="shared" si="17"/>
        <v>37.202380952380956</v>
      </c>
      <c r="M6" s="40">
        <f t="shared" si="17"/>
        <v>39.352428393524285</v>
      </c>
      <c r="N6" s="40">
        <f t="shared" si="17"/>
        <v>36.340371081253998</v>
      </c>
      <c r="O6" s="40">
        <f t="shared" si="17"/>
        <v>37.681970884658455</v>
      </c>
      <c r="P6" s="40">
        <f t="shared" si="17"/>
        <v>40.675403225806448</v>
      </c>
      <c r="Q6" s="40">
        <f t="shared" si="17"/>
        <v>41.499767116907307</v>
      </c>
      <c r="R6" s="40">
        <f t="shared" si="17"/>
        <v>44.557390936044051</v>
      </c>
      <c r="S6" s="40">
        <f t="shared" si="17"/>
        <v>47.668013220712453</v>
      </c>
      <c r="T6" s="40">
        <f t="shared" si="17"/>
        <v>50.29855988760098</v>
      </c>
      <c r="U6" s="40">
        <f t="shared" si="17"/>
        <v>48.221204649524481</v>
      </c>
      <c r="V6" s="40">
        <f t="shared" si="17"/>
        <v>48.174971031286212</v>
      </c>
      <c r="W6" s="40">
        <f t="shared" si="17"/>
        <v>47.354801610120759</v>
      </c>
      <c r="X6" s="40">
        <f t="shared" si="17"/>
        <v>47.626886145404661</v>
      </c>
      <c r="Y6" s="40">
        <f t="shared" ref="Y6:Z6" si="18">(Y5/Y4)*100</f>
        <v>48.514557338086753</v>
      </c>
      <c r="Z6" s="40">
        <f t="shared" si="18"/>
        <v>50.318102949681901</v>
      </c>
      <c r="AA6" s="40">
        <f t="shared" ref="AA6:AB6" si="19">(AA5/AA4)*100</f>
        <v>50.9734027968193</v>
      </c>
      <c r="AB6" s="40">
        <f t="shared" si="19"/>
        <v>51.339167329620793</v>
      </c>
      <c r="AC6" s="40">
        <f t="shared" ref="AC6:AH6" si="20">(AC5/AC4)*100</f>
        <v>52.758881330309904</v>
      </c>
      <c r="AD6" s="40">
        <f t="shared" si="20"/>
        <v>54.432793136320299</v>
      </c>
      <c r="AE6" s="40">
        <f t="shared" si="20"/>
        <v>52.717778305245666</v>
      </c>
      <c r="AF6" s="40">
        <f t="shared" si="20"/>
        <v>54.038754626605702</v>
      </c>
      <c r="AG6" s="40">
        <f t="shared" si="20"/>
        <v>52.887807036955081</v>
      </c>
      <c r="AH6" s="40">
        <f t="shared" si="20"/>
        <v>50.95384615384615</v>
      </c>
      <c r="AI6" s="61">
        <f t="shared" si="17"/>
        <v>50.476190476190474</v>
      </c>
      <c r="AJ6" s="40">
        <f t="shared" si="17"/>
        <v>59.649122807017541</v>
      </c>
      <c r="AK6" s="40">
        <f t="shared" si="17"/>
        <v>58.928571428571431</v>
      </c>
      <c r="AL6" s="40">
        <f t="shared" si="17"/>
        <v>67.832167832167841</v>
      </c>
      <c r="AM6" s="40">
        <f t="shared" si="17"/>
        <v>57.983193277310932</v>
      </c>
      <c r="AN6" s="40">
        <f t="shared" si="17"/>
        <v>58.59375</v>
      </c>
      <c r="AO6" s="40">
        <f t="shared" si="17"/>
        <v>62.307692307692307</v>
      </c>
      <c r="AP6" s="40">
        <f t="shared" si="17"/>
        <v>65.492957746478879</v>
      </c>
      <c r="AQ6" s="40">
        <f t="shared" si="17"/>
        <v>61.445783132530117</v>
      </c>
      <c r="AR6" s="40">
        <f t="shared" si="17"/>
        <v>59.354838709677416</v>
      </c>
      <c r="AS6" s="40">
        <f t="shared" si="17"/>
        <v>75.384615384615387</v>
      </c>
      <c r="AT6" s="40">
        <f t="shared" si="17"/>
        <v>64.444444444444443</v>
      </c>
      <c r="AU6" s="61">
        <f t="shared" si="17"/>
        <v>59.649122807017541</v>
      </c>
      <c r="AV6" s="40">
        <f t="shared" si="17"/>
        <v>58.928571428571431</v>
      </c>
      <c r="AW6" s="40">
        <f t="shared" si="17"/>
        <v>67.832167832167841</v>
      </c>
      <c r="AX6" s="40">
        <f t="shared" si="17"/>
        <v>57.983193277310932</v>
      </c>
      <c r="AY6" s="40">
        <f t="shared" si="17"/>
        <v>58.59375</v>
      </c>
      <c r="AZ6" s="40">
        <f t="shared" si="17"/>
        <v>62.307692307692307</v>
      </c>
      <c r="BA6" s="40">
        <f t="shared" si="17"/>
        <v>65.492957746478879</v>
      </c>
      <c r="BB6" s="40">
        <f t="shared" si="17"/>
        <v>61.445783132530117</v>
      </c>
      <c r="BC6" s="40">
        <f t="shared" si="17"/>
        <v>59.354838709677416</v>
      </c>
      <c r="BD6" s="40">
        <f t="shared" si="17"/>
        <v>75.384615384615387</v>
      </c>
      <c r="BE6" s="40">
        <f t="shared" si="17"/>
        <v>64.444444444444443</v>
      </c>
      <c r="BF6" s="61">
        <f t="shared" si="17"/>
        <v>59.649122807017541</v>
      </c>
      <c r="BG6" s="40">
        <f t="shared" si="17"/>
        <v>57.983193277310932</v>
      </c>
      <c r="BH6" s="40">
        <f t="shared" si="17"/>
        <v>58.59375</v>
      </c>
      <c r="BI6" s="40">
        <f t="shared" si="17"/>
        <v>62.307692307692307</v>
      </c>
      <c r="BJ6" s="40">
        <f t="shared" si="17"/>
        <v>65.492957746478879</v>
      </c>
      <c r="BK6" s="40">
        <f t="shared" si="17"/>
        <v>61.445783132530117</v>
      </c>
      <c r="BL6" s="40">
        <f t="shared" si="17"/>
        <v>59.354838709677416</v>
      </c>
      <c r="BM6" s="40">
        <f t="shared" si="17"/>
        <v>75.384615384615387</v>
      </c>
      <c r="BN6" s="40">
        <f t="shared" si="17"/>
        <v>64.444444444444443</v>
      </c>
      <c r="BO6" s="40">
        <f t="shared" si="17"/>
        <v>72.265625</v>
      </c>
      <c r="BP6" s="40">
        <f t="shared" si="17"/>
        <v>70.038910505836569</v>
      </c>
      <c r="BQ6" s="40">
        <f t="shared" si="17"/>
        <v>71.428571428571431</v>
      </c>
      <c r="BR6" s="40">
        <f t="shared" si="17"/>
        <v>64.022662889518415</v>
      </c>
      <c r="BS6" s="40">
        <f t="shared" si="17"/>
        <v>79.545454545454547</v>
      </c>
      <c r="BT6" s="40">
        <f t="shared" si="17"/>
        <v>70.171149144254272</v>
      </c>
      <c r="BU6" s="40">
        <f t="shared" si="17"/>
        <v>77.872340425531917</v>
      </c>
      <c r="BV6" s="40">
        <f t="shared" ref="BV6:BW6" si="21">(BV5/BV4)*100</f>
        <v>99.350649350649363</v>
      </c>
      <c r="BW6" s="40">
        <f t="shared" si="21"/>
        <v>80.185758513931887</v>
      </c>
      <c r="BX6" s="40">
        <f t="shared" ref="BX6:BY6" si="22">(BX5/BX4)*100</f>
        <v>77.685950413223139</v>
      </c>
      <c r="BY6" s="40">
        <f t="shared" si="22"/>
        <v>76.107899807321772</v>
      </c>
      <c r="BZ6" s="40">
        <f t="shared" ref="BZ6:CE6" si="23">(BZ5/BZ4)*100</f>
        <v>77.661169415292349</v>
      </c>
      <c r="CA6" s="40">
        <f t="shared" si="23"/>
        <v>76.211453744493397</v>
      </c>
      <c r="CB6" s="40">
        <f t="shared" si="23"/>
        <v>77.941176470588232</v>
      </c>
      <c r="CC6" s="40">
        <f t="shared" si="23"/>
        <v>79.462875197472343</v>
      </c>
      <c r="CD6" s="40">
        <f t="shared" si="23"/>
        <v>77.223427331887208</v>
      </c>
      <c r="CE6" s="40">
        <f t="shared" si="23"/>
        <v>81.262729124236259</v>
      </c>
    </row>
    <row r="7" spans="1:83">
      <c r="A7" s="37" t="s">
        <v>15</v>
      </c>
      <c r="B7" s="62">
        <v>15</v>
      </c>
      <c r="C7" s="41">
        <v>17</v>
      </c>
      <c r="D7" s="41">
        <v>15</v>
      </c>
      <c r="E7" s="41">
        <v>15</v>
      </c>
      <c r="F7" s="41">
        <v>20</v>
      </c>
      <c r="G7" s="41">
        <v>15</v>
      </c>
      <c r="H7" s="41">
        <v>14</v>
      </c>
      <c r="I7" s="41">
        <f>7+0</f>
        <v>7</v>
      </c>
      <c r="J7" s="41">
        <v>11</v>
      </c>
      <c r="K7" s="41">
        <v>16</v>
      </c>
      <c r="L7" s="41">
        <v>17</v>
      </c>
      <c r="M7" s="41">
        <v>18</v>
      </c>
      <c r="N7" s="41">
        <v>31</v>
      </c>
      <c r="O7" s="41">
        <v>40</v>
      </c>
      <c r="P7" s="41">
        <v>39</v>
      </c>
      <c r="Q7" s="41">
        <v>47</v>
      </c>
      <c r="R7" s="41">
        <v>57</v>
      </c>
      <c r="S7" s="41">
        <v>54</v>
      </c>
      <c r="T7" s="41">
        <v>61</v>
      </c>
      <c r="U7" s="41">
        <v>62</v>
      </c>
      <c r="V7" s="41">
        <v>92</v>
      </c>
      <c r="W7" s="41">
        <v>74</v>
      </c>
      <c r="X7" s="41">
        <v>72</v>
      </c>
      <c r="Y7" s="41">
        <v>59</v>
      </c>
      <c r="Z7" s="41">
        <v>68</v>
      </c>
      <c r="AA7" s="41">
        <v>90</v>
      </c>
      <c r="AB7" s="41">
        <v>93</v>
      </c>
      <c r="AC7" s="41">
        <v>91</v>
      </c>
      <c r="AD7" s="41">
        <v>81</v>
      </c>
      <c r="AE7" s="1">
        <v>79</v>
      </c>
      <c r="AF7" s="1">
        <v>92</v>
      </c>
      <c r="AG7" s="1">
        <v>83</v>
      </c>
      <c r="AH7" s="1">
        <v>85</v>
      </c>
      <c r="AI7" s="62">
        <v>0</v>
      </c>
      <c r="AJ7" s="41"/>
      <c r="AK7" s="41">
        <v>0</v>
      </c>
      <c r="AL7" s="41">
        <v>0</v>
      </c>
      <c r="AM7" s="41">
        <v>0</v>
      </c>
      <c r="AN7" s="41">
        <v>1</v>
      </c>
      <c r="AO7" s="41"/>
      <c r="AP7" s="41">
        <v>4</v>
      </c>
      <c r="AQ7" s="41">
        <v>4</v>
      </c>
      <c r="AR7" s="41">
        <v>5</v>
      </c>
      <c r="AS7" s="41">
        <v>4</v>
      </c>
      <c r="AT7" s="41">
        <v>7</v>
      </c>
      <c r="AU7" s="62"/>
      <c r="AV7" s="41">
        <v>0</v>
      </c>
      <c r="AW7" s="41">
        <v>0</v>
      </c>
      <c r="AX7" s="41">
        <v>0</v>
      </c>
      <c r="AY7" s="41">
        <v>1</v>
      </c>
      <c r="AZ7" s="41"/>
      <c r="BA7" s="41">
        <v>4</v>
      </c>
      <c r="BB7" s="41">
        <v>4</v>
      </c>
      <c r="BC7" s="41">
        <v>5</v>
      </c>
      <c r="BD7" s="41">
        <v>4</v>
      </c>
      <c r="BE7" s="41">
        <v>7</v>
      </c>
      <c r="BF7" s="62">
        <f t="shared" ref="BF7:BF22" si="24">IF(AJ7&gt;AU7,(AJ7),(AU7))</f>
        <v>0</v>
      </c>
      <c r="BG7" s="41">
        <f t="shared" ref="BG7:BG22" si="25">IF(AM7&gt;AX7,(AM7),(AX7))</f>
        <v>0</v>
      </c>
      <c r="BH7" s="41">
        <f t="shared" ref="BH7:BH22" si="26">IF(AN7&gt;AY7,(AN7),(AY7))</f>
        <v>1</v>
      </c>
      <c r="BI7" s="41">
        <f t="shared" ref="BI7:BI22" si="27">IF(AO7&gt;AZ7,(AO7),(AZ7))</f>
        <v>0</v>
      </c>
      <c r="BJ7" s="41">
        <f t="shared" ref="BJ7:BJ22" si="28">IF(AP7&gt;BA7,(AP7),(BA7))</f>
        <v>4</v>
      </c>
      <c r="BK7" s="41">
        <f t="shared" ref="BK7:BK22" si="29">IF(AQ7&gt;BB7,(AQ7),(BB7))</f>
        <v>4</v>
      </c>
      <c r="BL7" s="41">
        <f t="shared" ref="BL7:BL22" si="30">IF(AR7&gt;BC7,(AR7),(BC7))</f>
        <v>5</v>
      </c>
      <c r="BM7" s="41">
        <f t="shared" ref="BM7:BM22" si="31">IF(AS7&gt;BD7,(AS7),(BD7))</f>
        <v>4</v>
      </c>
      <c r="BN7" s="41">
        <f t="shared" ref="BN7:BN22" si="32">IF(AT7&gt;BE7,(AT7),(BE7))</f>
        <v>7</v>
      </c>
      <c r="BO7" s="41">
        <v>6</v>
      </c>
      <c r="BP7" s="41">
        <v>2</v>
      </c>
      <c r="BQ7" s="41">
        <v>8</v>
      </c>
      <c r="BR7" s="41">
        <v>10</v>
      </c>
      <c r="BS7" s="41">
        <v>27</v>
      </c>
      <c r="BT7" s="41">
        <v>15</v>
      </c>
      <c r="BU7" s="41">
        <v>10</v>
      </c>
      <c r="BV7" s="41">
        <v>18</v>
      </c>
      <c r="BW7" s="1">
        <v>6</v>
      </c>
      <c r="BX7" s="1">
        <v>9</v>
      </c>
      <c r="BY7" s="1">
        <v>12</v>
      </c>
      <c r="BZ7" s="1">
        <v>12</v>
      </c>
      <c r="CA7" s="1">
        <v>6</v>
      </c>
      <c r="CB7" s="1">
        <v>13</v>
      </c>
      <c r="CC7" s="1">
        <v>9</v>
      </c>
      <c r="CD7" s="1">
        <v>8</v>
      </c>
      <c r="CE7" s="1">
        <v>12</v>
      </c>
    </row>
    <row r="8" spans="1:83">
      <c r="A8" s="37" t="s">
        <v>16</v>
      </c>
      <c r="B8" s="62">
        <v>3</v>
      </c>
      <c r="C8" s="41">
        <v>4</v>
      </c>
      <c r="D8" s="41">
        <v>3</v>
      </c>
      <c r="E8" s="41">
        <v>13</v>
      </c>
      <c r="F8" s="41">
        <v>4</v>
      </c>
      <c r="G8" s="41">
        <v>2</v>
      </c>
      <c r="H8" s="41">
        <v>2</v>
      </c>
      <c r="I8" s="41">
        <f>3+0</f>
        <v>3</v>
      </c>
      <c r="J8" s="41">
        <v>2</v>
      </c>
      <c r="K8" s="41">
        <v>2</v>
      </c>
      <c r="L8" s="41">
        <v>6</v>
      </c>
      <c r="M8" s="41">
        <v>3</v>
      </c>
      <c r="N8" s="41">
        <v>6</v>
      </c>
      <c r="O8" s="41">
        <v>6</v>
      </c>
      <c r="P8" s="41">
        <v>8</v>
      </c>
      <c r="Q8" s="41">
        <v>4</v>
      </c>
      <c r="R8" s="41">
        <v>12</v>
      </c>
      <c r="S8" s="41">
        <v>17</v>
      </c>
      <c r="T8" s="41">
        <v>16</v>
      </c>
      <c r="U8" s="41">
        <v>15</v>
      </c>
      <c r="V8" s="41">
        <v>10</v>
      </c>
      <c r="W8" s="41">
        <v>14</v>
      </c>
      <c r="X8" s="41">
        <v>20</v>
      </c>
      <c r="Y8" s="41">
        <v>19</v>
      </c>
      <c r="Z8" s="41">
        <v>15</v>
      </c>
      <c r="AA8" s="41">
        <v>23</v>
      </c>
      <c r="AB8" s="41">
        <v>14</v>
      </c>
      <c r="AC8" s="41">
        <v>26</v>
      </c>
      <c r="AD8" s="41">
        <v>21</v>
      </c>
      <c r="AE8" s="1">
        <v>30</v>
      </c>
      <c r="AF8" s="1">
        <v>23</v>
      </c>
      <c r="AG8" s="1">
        <v>28</v>
      </c>
      <c r="AH8" s="1">
        <v>34</v>
      </c>
      <c r="AI8" s="62">
        <v>0</v>
      </c>
      <c r="AJ8" s="41"/>
      <c r="AK8" s="41">
        <v>0</v>
      </c>
      <c r="AL8" s="41">
        <v>0</v>
      </c>
      <c r="AM8" s="41">
        <v>0</v>
      </c>
      <c r="AN8" s="41">
        <v>0</v>
      </c>
      <c r="AO8" s="41"/>
      <c r="AP8" s="41"/>
      <c r="AQ8" s="41"/>
      <c r="AR8" s="41"/>
      <c r="AS8" s="41"/>
      <c r="AT8" s="41"/>
      <c r="AU8" s="62"/>
      <c r="AV8" s="41">
        <v>0</v>
      </c>
      <c r="AW8" s="41">
        <v>0</v>
      </c>
      <c r="AX8" s="41">
        <v>0</v>
      </c>
      <c r="AY8" s="41">
        <v>0</v>
      </c>
      <c r="AZ8" s="41"/>
      <c r="BA8" s="41"/>
      <c r="BB8" s="41"/>
      <c r="BC8" s="41"/>
      <c r="BD8" s="41"/>
      <c r="BE8" s="41"/>
      <c r="BF8" s="62">
        <f t="shared" si="24"/>
        <v>0</v>
      </c>
      <c r="BG8" s="41">
        <f t="shared" si="25"/>
        <v>0</v>
      </c>
      <c r="BH8" s="41">
        <f t="shared" si="26"/>
        <v>0</v>
      </c>
      <c r="BI8" s="41">
        <f t="shared" si="27"/>
        <v>0</v>
      </c>
      <c r="BJ8" s="41">
        <f t="shared" si="28"/>
        <v>0</v>
      </c>
      <c r="BK8" s="41">
        <f t="shared" si="29"/>
        <v>0</v>
      </c>
      <c r="BL8" s="41">
        <f t="shared" si="30"/>
        <v>0</v>
      </c>
      <c r="BM8" s="41">
        <f t="shared" si="31"/>
        <v>0</v>
      </c>
      <c r="BN8" s="41">
        <f t="shared" si="32"/>
        <v>0</v>
      </c>
      <c r="BO8" s="41"/>
      <c r="BP8" s="41"/>
      <c r="BQ8" s="41"/>
      <c r="BR8" s="41"/>
      <c r="BS8" s="41"/>
      <c r="BT8" s="41"/>
      <c r="BU8" s="41"/>
      <c r="BV8" s="41"/>
      <c r="BX8" s="1">
        <v>0</v>
      </c>
      <c r="BY8" s="1">
        <v>0</v>
      </c>
      <c r="BZ8" s="1">
        <v>0</v>
      </c>
      <c r="CA8" s="1">
        <v>0</v>
      </c>
      <c r="CB8" s="1">
        <v>0</v>
      </c>
      <c r="CC8" s="1">
        <v>0</v>
      </c>
      <c r="CD8" s="1">
        <v>0</v>
      </c>
      <c r="CE8" s="1">
        <v>0</v>
      </c>
    </row>
    <row r="9" spans="1:83">
      <c r="A9" s="37" t="s">
        <v>49</v>
      </c>
      <c r="B9" s="62">
        <v>0</v>
      </c>
      <c r="C9" s="41"/>
      <c r="D9" s="41"/>
      <c r="E9" s="41"/>
      <c r="F9" s="41"/>
      <c r="G9" s="41">
        <v>2</v>
      </c>
      <c r="H9" s="41">
        <v>2</v>
      </c>
      <c r="I9" s="41">
        <v>2</v>
      </c>
      <c r="J9" s="41">
        <v>8</v>
      </c>
      <c r="K9" s="41">
        <v>4</v>
      </c>
      <c r="L9" s="41">
        <v>5</v>
      </c>
      <c r="M9" s="41">
        <v>7</v>
      </c>
      <c r="N9" s="41">
        <v>8</v>
      </c>
      <c r="O9" s="41">
        <v>8</v>
      </c>
      <c r="P9" s="41">
        <v>12</v>
      </c>
      <c r="Q9" s="41">
        <v>8</v>
      </c>
      <c r="R9" s="41">
        <v>10</v>
      </c>
      <c r="S9" s="41">
        <v>17</v>
      </c>
      <c r="T9" s="41">
        <v>20</v>
      </c>
      <c r="U9" s="41">
        <v>21</v>
      </c>
      <c r="V9" s="41">
        <v>26</v>
      </c>
      <c r="W9" s="41">
        <v>13</v>
      </c>
      <c r="X9" s="41">
        <v>18</v>
      </c>
      <c r="Y9" s="41">
        <v>10</v>
      </c>
      <c r="Z9" s="41">
        <v>9</v>
      </c>
      <c r="AA9" s="41">
        <v>14</v>
      </c>
      <c r="AB9" s="41">
        <v>17</v>
      </c>
      <c r="AC9" s="41">
        <v>9</v>
      </c>
      <c r="AD9" s="41">
        <v>29</v>
      </c>
      <c r="AE9" s="1">
        <v>32</v>
      </c>
      <c r="AF9" s="1">
        <v>37</v>
      </c>
      <c r="AG9" s="1">
        <v>56</v>
      </c>
      <c r="AH9" s="1">
        <v>52</v>
      </c>
      <c r="AI9" s="62">
        <v>0</v>
      </c>
      <c r="AJ9" s="41"/>
      <c r="AK9" s="41">
        <v>0</v>
      </c>
      <c r="AL9" s="41">
        <v>0</v>
      </c>
      <c r="AM9" s="41">
        <v>0</v>
      </c>
      <c r="AN9" s="41">
        <v>0</v>
      </c>
      <c r="AO9" s="41"/>
      <c r="AP9" s="41"/>
      <c r="AQ9" s="41"/>
      <c r="AR9" s="41"/>
      <c r="AS9" s="41"/>
      <c r="AT9" s="41"/>
      <c r="AU9" s="62"/>
      <c r="AV9" s="41">
        <v>0</v>
      </c>
      <c r="AW9" s="41">
        <v>0</v>
      </c>
      <c r="AX9" s="41">
        <v>0</v>
      </c>
      <c r="AY9" s="41">
        <v>0</v>
      </c>
      <c r="AZ9" s="41"/>
      <c r="BA9" s="41"/>
      <c r="BB9" s="41"/>
      <c r="BC9" s="41"/>
      <c r="BD9" s="41"/>
      <c r="BE9" s="41"/>
      <c r="BF9" s="62">
        <f t="shared" si="24"/>
        <v>0</v>
      </c>
      <c r="BG9" s="41">
        <f t="shared" si="25"/>
        <v>0</v>
      </c>
      <c r="BH9" s="41">
        <f t="shared" si="26"/>
        <v>0</v>
      </c>
      <c r="BI9" s="41">
        <f t="shared" si="27"/>
        <v>0</v>
      </c>
      <c r="BJ9" s="41">
        <f t="shared" si="28"/>
        <v>0</v>
      </c>
      <c r="BK9" s="41">
        <f t="shared" si="29"/>
        <v>0</v>
      </c>
      <c r="BL9" s="41">
        <f t="shared" si="30"/>
        <v>0</v>
      </c>
      <c r="BM9" s="41">
        <f t="shared" si="31"/>
        <v>0</v>
      </c>
      <c r="BN9" s="41">
        <f t="shared" si="32"/>
        <v>0</v>
      </c>
      <c r="BO9" s="41"/>
      <c r="BP9" s="41"/>
      <c r="BQ9" s="41"/>
      <c r="BR9" s="41"/>
      <c r="BS9" s="41">
        <v>1</v>
      </c>
      <c r="BT9" s="41">
        <v>4</v>
      </c>
      <c r="BU9" s="41">
        <v>7</v>
      </c>
      <c r="BV9" s="41">
        <v>4</v>
      </c>
      <c r="BW9" s="1">
        <v>3</v>
      </c>
      <c r="BX9" s="1">
        <v>8</v>
      </c>
      <c r="BY9" s="1">
        <v>8</v>
      </c>
      <c r="BZ9" s="1">
        <v>4</v>
      </c>
      <c r="CA9" s="1">
        <v>1</v>
      </c>
      <c r="CB9" s="1">
        <v>13</v>
      </c>
      <c r="CC9" s="1">
        <v>18</v>
      </c>
      <c r="CD9" s="1">
        <v>15</v>
      </c>
      <c r="CE9" s="1">
        <v>6</v>
      </c>
    </row>
    <row r="10" spans="1:83">
      <c r="A10" s="37" t="s">
        <v>17</v>
      </c>
      <c r="B10" s="62">
        <v>109</v>
      </c>
      <c r="C10" s="41">
        <v>120</v>
      </c>
      <c r="D10" s="41">
        <v>114</v>
      </c>
      <c r="E10" s="41">
        <v>81</v>
      </c>
      <c r="F10" s="41">
        <v>56</v>
      </c>
      <c r="G10" s="41">
        <v>63</v>
      </c>
      <c r="H10" s="41">
        <f>31+37</f>
        <v>68</v>
      </c>
      <c r="I10" s="41">
        <f>31+49</f>
        <v>80</v>
      </c>
      <c r="J10" s="41">
        <v>83</v>
      </c>
      <c r="K10" s="41">
        <v>128</v>
      </c>
      <c r="L10" s="41">
        <v>104</v>
      </c>
      <c r="M10" s="41">
        <v>150</v>
      </c>
      <c r="N10" s="41">
        <v>119</v>
      </c>
      <c r="O10" s="41">
        <v>138</v>
      </c>
      <c r="P10" s="41">
        <v>149</v>
      </c>
      <c r="Q10" s="41">
        <v>194</v>
      </c>
      <c r="R10" s="41">
        <v>300</v>
      </c>
      <c r="S10" s="41">
        <v>450</v>
      </c>
      <c r="T10" s="41">
        <v>520</v>
      </c>
      <c r="U10" s="41">
        <v>415</v>
      </c>
      <c r="V10" s="41">
        <v>479</v>
      </c>
      <c r="W10" s="41">
        <v>524</v>
      </c>
      <c r="X10" s="41">
        <v>495</v>
      </c>
      <c r="Y10" s="41">
        <v>408</v>
      </c>
      <c r="Z10" s="41">
        <v>395</v>
      </c>
      <c r="AA10" s="41">
        <v>393</v>
      </c>
      <c r="AB10" s="41">
        <v>439</v>
      </c>
      <c r="AC10" s="41">
        <v>433</v>
      </c>
      <c r="AD10" s="41">
        <v>457</v>
      </c>
      <c r="AE10" s="4">
        <v>456</v>
      </c>
      <c r="AF10" s="4">
        <v>501</v>
      </c>
      <c r="AG10" s="4">
        <v>467</v>
      </c>
      <c r="AH10" s="4">
        <v>423</v>
      </c>
      <c r="AI10" s="62">
        <v>0</v>
      </c>
      <c r="AJ10" s="41"/>
      <c r="AK10" s="41">
        <v>0</v>
      </c>
      <c r="AL10" s="41">
        <v>1</v>
      </c>
      <c r="AM10" s="41">
        <v>1</v>
      </c>
      <c r="AN10" s="41">
        <v>8</v>
      </c>
      <c r="AO10" s="41">
        <v>3</v>
      </c>
      <c r="AP10" s="41">
        <v>6</v>
      </c>
      <c r="AQ10" s="41">
        <v>2</v>
      </c>
      <c r="AR10" s="41">
        <v>2</v>
      </c>
      <c r="AS10" s="41">
        <v>0</v>
      </c>
      <c r="AT10" s="41">
        <v>3</v>
      </c>
      <c r="AU10" s="62"/>
      <c r="AV10" s="41">
        <v>0</v>
      </c>
      <c r="AW10" s="41">
        <v>1</v>
      </c>
      <c r="AX10" s="41">
        <v>1</v>
      </c>
      <c r="AY10" s="41">
        <v>8</v>
      </c>
      <c r="AZ10" s="41">
        <v>3</v>
      </c>
      <c r="BA10" s="41">
        <v>6</v>
      </c>
      <c r="BB10" s="41">
        <v>2</v>
      </c>
      <c r="BC10" s="41">
        <v>2</v>
      </c>
      <c r="BD10" s="41">
        <v>0</v>
      </c>
      <c r="BE10" s="41">
        <v>3</v>
      </c>
      <c r="BF10" s="62">
        <f t="shared" si="24"/>
        <v>0</v>
      </c>
      <c r="BG10" s="41">
        <f t="shared" si="25"/>
        <v>1</v>
      </c>
      <c r="BH10" s="41">
        <f t="shared" si="26"/>
        <v>8</v>
      </c>
      <c r="BI10" s="41">
        <f t="shared" si="27"/>
        <v>3</v>
      </c>
      <c r="BJ10" s="41">
        <f t="shared" si="28"/>
        <v>6</v>
      </c>
      <c r="BK10" s="41">
        <f t="shared" si="29"/>
        <v>2</v>
      </c>
      <c r="BL10" s="41">
        <f t="shared" si="30"/>
        <v>2</v>
      </c>
      <c r="BM10" s="41">
        <f t="shared" si="31"/>
        <v>0</v>
      </c>
      <c r="BN10" s="41">
        <f t="shared" si="32"/>
        <v>3</v>
      </c>
      <c r="BO10" s="41">
        <v>14</v>
      </c>
      <c r="BP10" s="41">
        <v>17</v>
      </c>
      <c r="BQ10" s="41">
        <v>15</v>
      </c>
      <c r="BR10" s="41">
        <v>13</v>
      </c>
      <c r="BS10" s="41">
        <v>25</v>
      </c>
      <c r="BT10" s="41">
        <v>9</v>
      </c>
      <c r="BU10" s="41">
        <v>25</v>
      </c>
      <c r="BV10" s="41">
        <v>10</v>
      </c>
      <c r="BW10" s="1">
        <v>16</v>
      </c>
      <c r="BX10" s="1">
        <v>22</v>
      </c>
      <c r="BY10" s="1">
        <v>18</v>
      </c>
      <c r="BZ10" s="1">
        <v>32</v>
      </c>
      <c r="CA10" s="1">
        <v>20</v>
      </c>
      <c r="CB10" s="4">
        <v>17</v>
      </c>
      <c r="CC10" s="4">
        <v>26</v>
      </c>
      <c r="CD10" s="4">
        <v>23</v>
      </c>
      <c r="CE10" s="4">
        <v>18</v>
      </c>
    </row>
    <row r="11" spans="1:83">
      <c r="A11" s="37" t="s">
        <v>18</v>
      </c>
      <c r="B11" s="62">
        <v>27</v>
      </c>
      <c r="C11" s="41">
        <v>40</v>
      </c>
      <c r="D11" s="41">
        <v>45</v>
      </c>
      <c r="E11" s="41">
        <v>36</v>
      </c>
      <c r="F11" s="41">
        <f>22+34</f>
        <v>56</v>
      </c>
      <c r="G11" s="41">
        <v>67</v>
      </c>
      <c r="H11" s="41">
        <f>21+53</f>
        <v>74</v>
      </c>
      <c r="I11" s="41">
        <f>16+68</f>
        <v>84</v>
      </c>
      <c r="J11" s="41">
        <v>62</v>
      </c>
      <c r="K11" s="41">
        <v>73</v>
      </c>
      <c r="L11" s="41">
        <v>73</v>
      </c>
      <c r="M11" s="41">
        <v>76</v>
      </c>
      <c r="N11" s="41">
        <v>62</v>
      </c>
      <c r="O11" s="41">
        <v>68</v>
      </c>
      <c r="P11" s="41">
        <v>91</v>
      </c>
      <c r="Q11" s="41">
        <v>103</v>
      </c>
      <c r="R11" s="41">
        <v>93</v>
      </c>
      <c r="S11" s="41">
        <v>106</v>
      </c>
      <c r="T11" s="41">
        <v>96</v>
      </c>
      <c r="U11" s="41">
        <v>166</v>
      </c>
      <c r="V11" s="41">
        <v>207</v>
      </c>
      <c r="W11" s="41">
        <v>215</v>
      </c>
      <c r="X11" s="41">
        <v>215</v>
      </c>
      <c r="Y11" s="41">
        <v>237</v>
      </c>
      <c r="Z11" s="41">
        <v>228</v>
      </c>
      <c r="AA11" s="41">
        <v>246</v>
      </c>
      <c r="AB11" s="41">
        <v>271</v>
      </c>
      <c r="AC11" s="41">
        <v>326</v>
      </c>
      <c r="AD11" s="41">
        <v>273</v>
      </c>
      <c r="AE11" s="96">
        <v>296</v>
      </c>
      <c r="AF11" s="96">
        <v>313</v>
      </c>
      <c r="AG11" s="96">
        <v>234</v>
      </c>
      <c r="AH11" s="96">
        <v>243</v>
      </c>
      <c r="AI11" s="62">
        <v>34</v>
      </c>
      <c r="AJ11" s="41">
        <v>38</v>
      </c>
      <c r="AK11" s="41">
        <v>37</v>
      </c>
      <c r="AL11" s="41">
        <v>57</v>
      </c>
      <c r="AM11" s="41">
        <v>32</v>
      </c>
      <c r="AN11" s="41">
        <v>33</v>
      </c>
      <c r="AO11" s="41">
        <v>28</v>
      </c>
      <c r="AP11" s="41">
        <v>21</v>
      </c>
      <c r="AQ11" s="41">
        <v>23</v>
      </c>
      <c r="AR11" s="41">
        <v>25</v>
      </c>
      <c r="AS11" s="41">
        <v>49</v>
      </c>
      <c r="AT11" s="41">
        <v>35</v>
      </c>
      <c r="AU11" s="62">
        <v>38</v>
      </c>
      <c r="AV11" s="41">
        <v>37</v>
      </c>
      <c r="AW11" s="41">
        <v>57</v>
      </c>
      <c r="AX11" s="41">
        <v>32</v>
      </c>
      <c r="AY11" s="41">
        <v>33</v>
      </c>
      <c r="AZ11" s="41">
        <v>28</v>
      </c>
      <c r="BA11" s="41">
        <v>21</v>
      </c>
      <c r="BB11" s="41">
        <v>23</v>
      </c>
      <c r="BC11" s="41">
        <v>25</v>
      </c>
      <c r="BD11" s="41">
        <v>49</v>
      </c>
      <c r="BE11" s="41">
        <v>35</v>
      </c>
      <c r="BF11" s="62">
        <f t="shared" si="24"/>
        <v>38</v>
      </c>
      <c r="BG11" s="41">
        <f t="shared" si="25"/>
        <v>32</v>
      </c>
      <c r="BH11" s="41">
        <f t="shared" si="26"/>
        <v>33</v>
      </c>
      <c r="BI11" s="41">
        <f t="shared" si="27"/>
        <v>28</v>
      </c>
      <c r="BJ11" s="41">
        <f t="shared" si="28"/>
        <v>21</v>
      </c>
      <c r="BK11" s="41">
        <f t="shared" si="29"/>
        <v>23</v>
      </c>
      <c r="BL11" s="41">
        <f t="shared" si="30"/>
        <v>25</v>
      </c>
      <c r="BM11" s="41">
        <f t="shared" si="31"/>
        <v>49</v>
      </c>
      <c r="BN11" s="41">
        <f t="shared" si="32"/>
        <v>35</v>
      </c>
      <c r="BO11" s="41">
        <v>30</v>
      </c>
      <c r="BP11" s="41">
        <v>17</v>
      </c>
      <c r="BQ11" s="41">
        <v>33</v>
      </c>
      <c r="BR11" s="41">
        <v>38</v>
      </c>
      <c r="BS11" s="41">
        <v>96</v>
      </c>
      <c r="BT11" s="41">
        <v>70</v>
      </c>
      <c r="BU11" s="41">
        <v>75</v>
      </c>
      <c r="BV11" s="41">
        <v>77</v>
      </c>
      <c r="BW11" s="1">
        <v>35</v>
      </c>
      <c r="BX11" s="1">
        <v>25</v>
      </c>
      <c r="BY11" s="1">
        <v>124</v>
      </c>
      <c r="BZ11" s="1">
        <v>161</v>
      </c>
      <c r="CA11" s="1">
        <v>20</v>
      </c>
      <c r="CB11" s="96">
        <v>86</v>
      </c>
      <c r="CC11" s="96">
        <v>151</v>
      </c>
      <c r="CD11" s="96">
        <v>29</v>
      </c>
      <c r="CE11" s="96">
        <v>26</v>
      </c>
    </row>
    <row r="12" spans="1:83">
      <c r="A12" s="37" t="s">
        <v>19</v>
      </c>
      <c r="B12" s="62">
        <v>1</v>
      </c>
      <c r="C12" s="41">
        <v>5</v>
      </c>
      <c r="D12" s="41">
        <v>1</v>
      </c>
      <c r="E12" s="41">
        <v>4</v>
      </c>
      <c r="F12" s="41">
        <v>6</v>
      </c>
      <c r="G12" s="41">
        <v>5</v>
      </c>
      <c r="H12" s="41">
        <v>7</v>
      </c>
      <c r="I12" s="41">
        <f>3+0</f>
        <v>3</v>
      </c>
      <c r="J12" s="41">
        <v>11</v>
      </c>
      <c r="K12" s="41">
        <v>4</v>
      </c>
      <c r="L12" s="41">
        <v>11</v>
      </c>
      <c r="M12" s="41">
        <v>9</v>
      </c>
      <c r="N12" s="41">
        <v>9</v>
      </c>
      <c r="O12" s="41">
        <v>14</v>
      </c>
      <c r="P12" s="41">
        <v>10</v>
      </c>
      <c r="Q12" s="41">
        <v>18</v>
      </c>
      <c r="R12" s="41">
        <v>14</v>
      </c>
      <c r="S12" s="41">
        <v>29</v>
      </c>
      <c r="T12" s="41">
        <v>17</v>
      </c>
      <c r="U12" s="41">
        <v>22</v>
      </c>
      <c r="V12" s="41">
        <v>30</v>
      </c>
      <c r="W12" s="41">
        <v>26</v>
      </c>
      <c r="X12" s="41">
        <v>22</v>
      </c>
      <c r="Y12" s="41">
        <v>37</v>
      </c>
      <c r="Z12" s="41">
        <v>23</v>
      </c>
      <c r="AA12" s="41">
        <v>26</v>
      </c>
      <c r="AB12" s="41">
        <v>24</v>
      </c>
      <c r="AC12" s="41">
        <v>38</v>
      </c>
      <c r="AD12" s="41">
        <v>41</v>
      </c>
      <c r="AE12" s="1">
        <v>36</v>
      </c>
      <c r="AF12" s="1">
        <v>34</v>
      </c>
      <c r="AG12" s="1">
        <v>59</v>
      </c>
      <c r="AH12" s="1">
        <v>41</v>
      </c>
      <c r="AI12" s="62">
        <v>0</v>
      </c>
      <c r="AJ12" s="41"/>
      <c r="AK12" s="41">
        <v>0</v>
      </c>
      <c r="AL12" s="41">
        <v>0</v>
      </c>
      <c r="AM12" s="41"/>
      <c r="AN12" s="41"/>
      <c r="AO12" s="41"/>
      <c r="AP12" s="41"/>
      <c r="AQ12" s="41"/>
      <c r="AR12" s="41"/>
      <c r="AS12" s="41"/>
      <c r="AT12" s="41"/>
      <c r="AU12" s="62"/>
      <c r="AV12" s="41">
        <v>0</v>
      </c>
      <c r="AW12" s="41">
        <v>0</v>
      </c>
      <c r="AX12" s="41">
        <v>0</v>
      </c>
      <c r="AY12" s="41">
        <v>0</v>
      </c>
      <c r="AZ12" s="41"/>
      <c r="BA12" s="41"/>
      <c r="BB12" s="41"/>
      <c r="BC12" s="41"/>
      <c r="BD12" s="41"/>
      <c r="BE12" s="41"/>
      <c r="BF12" s="62">
        <f t="shared" si="24"/>
        <v>0</v>
      </c>
      <c r="BG12" s="41">
        <f t="shared" si="25"/>
        <v>0</v>
      </c>
      <c r="BH12" s="41">
        <f t="shared" si="26"/>
        <v>0</v>
      </c>
      <c r="BI12" s="41">
        <f t="shared" si="27"/>
        <v>0</v>
      </c>
      <c r="BJ12" s="41">
        <f t="shared" si="28"/>
        <v>0</v>
      </c>
      <c r="BK12" s="41">
        <f t="shared" si="29"/>
        <v>0</v>
      </c>
      <c r="BL12" s="41">
        <f t="shared" si="30"/>
        <v>0</v>
      </c>
      <c r="BM12" s="41">
        <f t="shared" si="31"/>
        <v>0</v>
      </c>
      <c r="BN12" s="41">
        <f t="shared" si="32"/>
        <v>0</v>
      </c>
      <c r="BO12" s="41"/>
      <c r="BP12" s="41"/>
      <c r="BQ12" s="41"/>
      <c r="BR12" s="41"/>
      <c r="BS12" s="41"/>
      <c r="BT12" s="41"/>
      <c r="BU12" s="41"/>
      <c r="BV12" s="41"/>
      <c r="BX12" s="1">
        <v>0</v>
      </c>
      <c r="BY12" s="1">
        <v>0</v>
      </c>
      <c r="BZ12" s="1">
        <v>0</v>
      </c>
      <c r="CA12" s="1">
        <v>0</v>
      </c>
      <c r="CB12" s="1">
        <v>0</v>
      </c>
      <c r="CC12" s="1">
        <v>0</v>
      </c>
      <c r="CD12" s="1">
        <v>0</v>
      </c>
    </row>
    <row r="13" spans="1:83">
      <c r="A13" s="37" t="s">
        <v>20</v>
      </c>
      <c r="B13" s="62">
        <v>8</v>
      </c>
      <c r="C13" s="41">
        <v>11</v>
      </c>
      <c r="D13" s="41">
        <v>3</v>
      </c>
      <c r="E13" s="41">
        <v>6</v>
      </c>
      <c r="F13" s="41">
        <v>9</v>
      </c>
      <c r="G13" s="41">
        <v>9</v>
      </c>
      <c r="H13" s="41">
        <f>7+6</f>
        <v>13</v>
      </c>
      <c r="I13" s="41">
        <f>7+2</f>
        <v>9</v>
      </c>
      <c r="J13" s="41">
        <v>13</v>
      </c>
      <c r="K13" s="41">
        <v>9</v>
      </c>
      <c r="L13" s="41">
        <v>17</v>
      </c>
      <c r="M13" s="41">
        <v>21</v>
      </c>
      <c r="N13" s="41">
        <v>18</v>
      </c>
      <c r="O13" s="41">
        <v>27</v>
      </c>
      <c r="P13" s="41">
        <v>26</v>
      </c>
      <c r="Q13" s="41">
        <v>48</v>
      </c>
      <c r="R13" s="41">
        <v>46</v>
      </c>
      <c r="S13" s="41">
        <v>63</v>
      </c>
      <c r="T13" s="41">
        <v>57</v>
      </c>
      <c r="U13" s="41">
        <v>37</v>
      </c>
      <c r="V13" s="41">
        <v>52</v>
      </c>
      <c r="W13" s="41">
        <v>40</v>
      </c>
      <c r="X13" s="41">
        <v>53</v>
      </c>
      <c r="Y13" s="41">
        <v>63</v>
      </c>
      <c r="Z13" s="41">
        <v>52</v>
      </c>
      <c r="AA13" s="41">
        <v>66</v>
      </c>
      <c r="AB13" s="41">
        <v>57</v>
      </c>
      <c r="AC13" s="41">
        <v>70</v>
      </c>
      <c r="AD13" s="41">
        <v>77</v>
      </c>
      <c r="AE13" s="1">
        <v>66</v>
      </c>
      <c r="AF13" s="1">
        <v>86</v>
      </c>
      <c r="AG13" s="1">
        <v>99</v>
      </c>
      <c r="AH13" s="1">
        <v>96</v>
      </c>
      <c r="AI13" s="62">
        <v>0</v>
      </c>
      <c r="AJ13" s="41"/>
      <c r="AK13" s="41">
        <v>2</v>
      </c>
      <c r="AL13" s="41">
        <v>0</v>
      </c>
      <c r="AM13" s="41">
        <v>1</v>
      </c>
      <c r="AN13" s="41">
        <v>2</v>
      </c>
      <c r="AO13" s="41">
        <v>6</v>
      </c>
      <c r="AP13" s="41">
        <v>8</v>
      </c>
      <c r="AQ13" s="41">
        <v>5</v>
      </c>
      <c r="AR13" s="41">
        <v>6</v>
      </c>
      <c r="AS13" s="41">
        <v>4</v>
      </c>
      <c r="AT13" s="41">
        <v>10</v>
      </c>
      <c r="AU13" s="62"/>
      <c r="AV13" s="41">
        <v>2</v>
      </c>
      <c r="AW13" s="41">
        <v>0</v>
      </c>
      <c r="AX13" s="41">
        <v>1</v>
      </c>
      <c r="AY13" s="41">
        <v>2</v>
      </c>
      <c r="AZ13" s="41">
        <v>6</v>
      </c>
      <c r="BA13" s="41">
        <v>8</v>
      </c>
      <c r="BB13" s="41">
        <v>5</v>
      </c>
      <c r="BC13" s="41">
        <v>6</v>
      </c>
      <c r="BD13" s="41">
        <v>4</v>
      </c>
      <c r="BE13" s="41">
        <v>10</v>
      </c>
      <c r="BF13" s="62">
        <f t="shared" si="24"/>
        <v>0</v>
      </c>
      <c r="BG13" s="41">
        <f t="shared" si="25"/>
        <v>1</v>
      </c>
      <c r="BH13" s="41">
        <f t="shared" si="26"/>
        <v>2</v>
      </c>
      <c r="BI13" s="41">
        <f t="shared" si="27"/>
        <v>6</v>
      </c>
      <c r="BJ13" s="41">
        <f t="shared" si="28"/>
        <v>8</v>
      </c>
      <c r="BK13" s="41">
        <f t="shared" si="29"/>
        <v>5</v>
      </c>
      <c r="BL13" s="41">
        <f t="shared" si="30"/>
        <v>6</v>
      </c>
      <c r="BM13" s="41">
        <f t="shared" si="31"/>
        <v>4</v>
      </c>
      <c r="BN13" s="41">
        <f t="shared" si="32"/>
        <v>10</v>
      </c>
      <c r="BO13" s="41">
        <v>9</v>
      </c>
      <c r="BP13" s="41">
        <v>10</v>
      </c>
      <c r="BQ13" s="41">
        <v>13</v>
      </c>
      <c r="BR13" s="41">
        <v>7</v>
      </c>
      <c r="BS13" s="41">
        <v>7</v>
      </c>
      <c r="BT13" s="41">
        <v>8</v>
      </c>
      <c r="BU13" s="41">
        <v>17</v>
      </c>
      <c r="BV13" s="41">
        <v>12</v>
      </c>
      <c r="BW13" s="1">
        <v>18</v>
      </c>
      <c r="BX13" s="1">
        <v>23</v>
      </c>
      <c r="BY13" s="1">
        <v>21</v>
      </c>
      <c r="BZ13" s="1">
        <v>15</v>
      </c>
      <c r="CA13" s="1">
        <v>23</v>
      </c>
      <c r="CB13" s="1">
        <v>21</v>
      </c>
      <c r="CC13" s="1">
        <v>17</v>
      </c>
      <c r="CD13" s="1">
        <v>19</v>
      </c>
      <c r="CE13" s="1">
        <v>26</v>
      </c>
    </row>
    <row r="14" spans="1:83">
      <c r="A14" s="37" t="s">
        <v>21</v>
      </c>
      <c r="B14" s="62">
        <v>23</v>
      </c>
      <c r="C14" s="41">
        <v>26</v>
      </c>
      <c r="D14" s="41">
        <v>18</v>
      </c>
      <c r="E14" s="41">
        <v>25</v>
      </c>
      <c r="F14" s="41">
        <f>32+1</f>
        <v>33</v>
      </c>
      <c r="G14" s="41">
        <v>27</v>
      </c>
      <c r="H14" s="41">
        <f>36+8</f>
        <v>44</v>
      </c>
      <c r="I14" s="41">
        <f>30+3</f>
        <v>33</v>
      </c>
      <c r="J14" s="41">
        <v>41</v>
      </c>
      <c r="K14" s="41">
        <v>38</v>
      </c>
      <c r="L14" s="41">
        <v>42</v>
      </c>
      <c r="M14" s="41">
        <v>51</v>
      </c>
      <c r="N14" s="41">
        <v>33</v>
      </c>
      <c r="O14" s="41">
        <v>54</v>
      </c>
      <c r="P14" s="41">
        <v>42</v>
      </c>
      <c r="Q14" s="41">
        <v>50</v>
      </c>
      <c r="R14" s="41">
        <v>63</v>
      </c>
      <c r="S14" s="41">
        <v>77</v>
      </c>
      <c r="T14" s="41">
        <v>97</v>
      </c>
      <c r="U14" s="41">
        <v>101</v>
      </c>
      <c r="V14" s="41">
        <v>124</v>
      </c>
      <c r="W14" s="41">
        <v>117</v>
      </c>
      <c r="X14" s="41">
        <v>119</v>
      </c>
      <c r="Y14" s="41">
        <v>97</v>
      </c>
      <c r="Z14" s="41">
        <v>114</v>
      </c>
      <c r="AA14" s="41">
        <v>139</v>
      </c>
      <c r="AB14" s="41">
        <v>103</v>
      </c>
      <c r="AC14" s="41">
        <v>137</v>
      </c>
      <c r="AD14" s="41">
        <v>142</v>
      </c>
      <c r="AE14" s="1">
        <v>127</v>
      </c>
      <c r="AF14" s="1">
        <v>132</v>
      </c>
      <c r="AG14" s="1">
        <v>140</v>
      </c>
      <c r="AH14" s="1">
        <v>153</v>
      </c>
      <c r="AI14" s="62">
        <v>1</v>
      </c>
      <c r="AJ14" s="41">
        <v>3</v>
      </c>
      <c r="AK14" s="41">
        <v>3</v>
      </c>
      <c r="AL14" s="41">
        <v>2</v>
      </c>
      <c r="AM14" s="41">
        <v>5</v>
      </c>
      <c r="AN14" s="41">
        <v>3</v>
      </c>
      <c r="AO14" s="41">
        <v>6</v>
      </c>
      <c r="AP14" s="41">
        <v>5</v>
      </c>
      <c r="AQ14" s="41">
        <v>2</v>
      </c>
      <c r="AR14" s="41">
        <v>5</v>
      </c>
      <c r="AS14" s="41">
        <v>4</v>
      </c>
      <c r="AT14" s="41">
        <v>8</v>
      </c>
      <c r="AU14" s="62">
        <v>3</v>
      </c>
      <c r="AV14" s="41">
        <v>3</v>
      </c>
      <c r="AW14" s="41">
        <v>2</v>
      </c>
      <c r="AX14" s="41">
        <v>5</v>
      </c>
      <c r="AY14" s="41">
        <v>3</v>
      </c>
      <c r="AZ14" s="41">
        <v>6</v>
      </c>
      <c r="BA14" s="41">
        <v>5</v>
      </c>
      <c r="BB14" s="41">
        <v>2</v>
      </c>
      <c r="BC14" s="41">
        <v>5</v>
      </c>
      <c r="BD14" s="41">
        <v>4</v>
      </c>
      <c r="BE14" s="41">
        <v>8</v>
      </c>
      <c r="BF14" s="62">
        <f t="shared" si="24"/>
        <v>3</v>
      </c>
      <c r="BG14" s="41">
        <f t="shared" si="25"/>
        <v>5</v>
      </c>
      <c r="BH14" s="41">
        <f t="shared" si="26"/>
        <v>3</v>
      </c>
      <c r="BI14" s="41">
        <f t="shared" si="27"/>
        <v>6</v>
      </c>
      <c r="BJ14" s="41">
        <f t="shared" si="28"/>
        <v>5</v>
      </c>
      <c r="BK14" s="41">
        <f t="shared" si="29"/>
        <v>2</v>
      </c>
      <c r="BL14" s="41">
        <f t="shared" si="30"/>
        <v>5</v>
      </c>
      <c r="BM14" s="41">
        <f t="shared" si="31"/>
        <v>4</v>
      </c>
      <c r="BN14" s="41">
        <f t="shared" si="32"/>
        <v>8</v>
      </c>
      <c r="BO14" s="41">
        <v>19</v>
      </c>
      <c r="BP14" s="41">
        <v>21</v>
      </c>
      <c r="BQ14" s="41">
        <v>37</v>
      </c>
      <c r="BR14" s="41">
        <v>40</v>
      </c>
      <c r="BS14" s="41">
        <v>44</v>
      </c>
      <c r="BT14" s="41">
        <v>49</v>
      </c>
      <c r="BU14" s="41">
        <v>52</v>
      </c>
      <c r="BV14" s="41">
        <v>32</v>
      </c>
      <c r="BW14" s="1">
        <v>44</v>
      </c>
      <c r="BX14" s="1">
        <v>53</v>
      </c>
      <c r="BY14" s="1">
        <v>42</v>
      </c>
      <c r="BZ14" s="1">
        <v>57</v>
      </c>
      <c r="CA14" s="1">
        <v>62</v>
      </c>
      <c r="CB14" s="1">
        <v>53</v>
      </c>
      <c r="CC14" s="1">
        <v>55</v>
      </c>
      <c r="CD14" s="1">
        <v>51</v>
      </c>
      <c r="CE14" s="1">
        <v>70</v>
      </c>
    </row>
    <row r="15" spans="1:83">
      <c r="A15" s="37" t="s">
        <v>22</v>
      </c>
      <c r="B15" s="62">
        <v>21</v>
      </c>
      <c r="C15" s="41">
        <v>16</v>
      </c>
      <c r="D15" s="41">
        <v>12</v>
      </c>
      <c r="E15" s="41">
        <v>17</v>
      </c>
      <c r="F15" s="41">
        <f>17+3</f>
        <v>20</v>
      </c>
      <c r="G15" s="41">
        <v>20</v>
      </c>
      <c r="H15" s="41">
        <v>24</v>
      </c>
      <c r="I15" s="41">
        <f>14+0</f>
        <v>14</v>
      </c>
      <c r="J15" s="41">
        <v>24</v>
      </c>
      <c r="K15" s="41">
        <v>21</v>
      </c>
      <c r="L15" s="41">
        <v>22</v>
      </c>
      <c r="M15" s="41">
        <v>20</v>
      </c>
      <c r="N15" s="41">
        <v>40</v>
      </c>
      <c r="O15" s="41">
        <v>25</v>
      </c>
      <c r="P15" s="41">
        <v>51</v>
      </c>
      <c r="Q15" s="41">
        <v>43</v>
      </c>
      <c r="R15" s="41">
        <v>72</v>
      </c>
      <c r="S15" s="41">
        <v>72</v>
      </c>
      <c r="T15" s="41">
        <v>80</v>
      </c>
      <c r="U15" s="41">
        <v>57</v>
      </c>
      <c r="V15" s="41">
        <v>101</v>
      </c>
      <c r="W15" s="41">
        <v>90</v>
      </c>
      <c r="X15" s="41">
        <v>110</v>
      </c>
      <c r="Y15" s="41">
        <v>98</v>
      </c>
      <c r="Z15" s="41">
        <v>89</v>
      </c>
      <c r="AA15" s="41">
        <v>120</v>
      </c>
      <c r="AB15" s="41">
        <v>110</v>
      </c>
      <c r="AC15" s="41">
        <v>111</v>
      </c>
      <c r="AD15" s="41">
        <v>160</v>
      </c>
      <c r="AE15" s="1">
        <v>147</v>
      </c>
      <c r="AF15" s="1">
        <v>168</v>
      </c>
      <c r="AG15" s="1">
        <v>161</v>
      </c>
      <c r="AH15" s="1">
        <v>182</v>
      </c>
      <c r="AI15" s="62">
        <v>3</v>
      </c>
      <c r="AJ15" s="41">
        <v>1</v>
      </c>
      <c r="AK15" s="41">
        <v>4</v>
      </c>
      <c r="AL15" s="41">
        <v>3</v>
      </c>
      <c r="AM15" s="41">
        <v>4</v>
      </c>
      <c r="AN15" s="41">
        <v>4</v>
      </c>
      <c r="AO15" s="41">
        <v>7</v>
      </c>
      <c r="AP15" s="41">
        <v>4</v>
      </c>
      <c r="AQ15" s="41">
        <v>11</v>
      </c>
      <c r="AR15" s="41">
        <v>9</v>
      </c>
      <c r="AS15" s="41">
        <v>22</v>
      </c>
      <c r="AT15" s="41">
        <v>14</v>
      </c>
      <c r="AU15" s="62">
        <v>1</v>
      </c>
      <c r="AV15" s="41">
        <v>4</v>
      </c>
      <c r="AW15" s="41">
        <v>3</v>
      </c>
      <c r="AX15" s="41">
        <v>4</v>
      </c>
      <c r="AY15" s="41">
        <v>4</v>
      </c>
      <c r="AZ15" s="41">
        <v>7</v>
      </c>
      <c r="BA15" s="41">
        <v>4</v>
      </c>
      <c r="BB15" s="41">
        <v>11</v>
      </c>
      <c r="BC15" s="41">
        <v>9</v>
      </c>
      <c r="BD15" s="41">
        <v>22</v>
      </c>
      <c r="BE15" s="41">
        <v>14</v>
      </c>
      <c r="BF15" s="62">
        <f t="shared" si="24"/>
        <v>1</v>
      </c>
      <c r="BG15" s="41">
        <f t="shared" si="25"/>
        <v>4</v>
      </c>
      <c r="BH15" s="41">
        <f t="shared" si="26"/>
        <v>4</v>
      </c>
      <c r="BI15" s="41">
        <f t="shared" si="27"/>
        <v>7</v>
      </c>
      <c r="BJ15" s="41">
        <f t="shared" si="28"/>
        <v>4</v>
      </c>
      <c r="BK15" s="41">
        <f t="shared" si="29"/>
        <v>11</v>
      </c>
      <c r="BL15" s="41">
        <f t="shared" si="30"/>
        <v>9</v>
      </c>
      <c r="BM15" s="41">
        <f t="shared" si="31"/>
        <v>22</v>
      </c>
      <c r="BN15" s="41">
        <f t="shared" si="32"/>
        <v>14</v>
      </c>
      <c r="BO15" s="41">
        <v>29</v>
      </c>
      <c r="BP15" s="41">
        <v>29</v>
      </c>
      <c r="BQ15" s="41">
        <v>21</v>
      </c>
      <c r="BR15" s="41">
        <v>24</v>
      </c>
      <c r="BS15" s="41">
        <v>50</v>
      </c>
      <c r="BT15" s="41">
        <v>39</v>
      </c>
      <c r="BU15" s="41">
        <v>50</v>
      </c>
      <c r="BV15" s="41">
        <v>54</v>
      </c>
      <c r="BW15" s="1">
        <v>39</v>
      </c>
      <c r="BX15" s="1">
        <v>46</v>
      </c>
      <c r="BY15" s="1">
        <v>55</v>
      </c>
      <c r="BZ15" s="1">
        <v>60</v>
      </c>
      <c r="CA15" s="1">
        <v>66</v>
      </c>
      <c r="CB15" s="1">
        <v>64</v>
      </c>
      <c r="CC15" s="1">
        <v>61</v>
      </c>
      <c r="CD15" s="1">
        <v>76</v>
      </c>
      <c r="CE15" s="1">
        <v>88</v>
      </c>
    </row>
    <row r="16" spans="1:83">
      <c r="A16" s="37" t="s">
        <v>23</v>
      </c>
      <c r="B16" s="62">
        <v>12</v>
      </c>
      <c r="C16" s="41">
        <v>19</v>
      </c>
      <c r="D16" s="41">
        <v>30</v>
      </c>
      <c r="E16" s="41">
        <v>29</v>
      </c>
      <c r="F16" s="41">
        <v>31</v>
      </c>
      <c r="G16" s="41">
        <v>27</v>
      </c>
      <c r="H16" s="41">
        <f>26+1</f>
        <v>27</v>
      </c>
      <c r="I16" s="41">
        <f>28+0</f>
        <v>28</v>
      </c>
      <c r="J16" s="41">
        <v>27</v>
      </c>
      <c r="K16" s="41">
        <v>39</v>
      </c>
      <c r="L16" s="41">
        <v>35</v>
      </c>
      <c r="M16" s="41">
        <v>54</v>
      </c>
      <c r="N16" s="41">
        <v>31</v>
      </c>
      <c r="O16" s="41">
        <v>55</v>
      </c>
      <c r="P16" s="41">
        <v>61</v>
      </c>
      <c r="Q16" s="41">
        <v>68</v>
      </c>
      <c r="R16" s="41">
        <v>69</v>
      </c>
      <c r="S16" s="41">
        <v>92</v>
      </c>
      <c r="T16" s="41">
        <v>99</v>
      </c>
      <c r="U16" s="41">
        <v>85</v>
      </c>
      <c r="V16" s="41">
        <v>94</v>
      </c>
      <c r="W16" s="41">
        <v>118</v>
      </c>
      <c r="X16" s="41">
        <v>110</v>
      </c>
      <c r="Y16" s="41">
        <v>115</v>
      </c>
      <c r="Z16" s="41">
        <v>121</v>
      </c>
      <c r="AA16" s="41">
        <v>124</v>
      </c>
      <c r="AB16" s="41">
        <v>158</v>
      </c>
      <c r="AC16" s="41">
        <v>150</v>
      </c>
      <c r="AD16" s="41">
        <v>176</v>
      </c>
      <c r="AE16" s="1">
        <v>179</v>
      </c>
      <c r="AF16" s="1">
        <v>220</v>
      </c>
      <c r="AG16" s="1">
        <v>229</v>
      </c>
      <c r="AH16" s="1">
        <v>239</v>
      </c>
      <c r="AI16" s="62">
        <v>0</v>
      </c>
      <c r="AJ16" s="41"/>
      <c r="AK16" s="41">
        <v>0</v>
      </c>
      <c r="AL16" s="41">
        <v>0</v>
      </c>
      <c r="AM16" s="41">
        <v>0</v>
      </c>
      <c r="AN16" s="41">
        <v>0</v>
      </c>
      <c r="AO16" s="41"/>
      <c r="AP16" s="41">
        <v>0</v>
      </c>
      <c r="AQ16" s="41">
        <v>0</v>
      </c>
      <c r="AR16" s="41">
        <v>3</v>
      </c>
      <c r="AS16" s="41">
        <v>4</v>
      </c>
      <c r="AT16" s="41">
        <v>4</v>
      </c>
      <c r="AU16" s="62"/>
      <c r="AV16" s="41">
        <v>0</v>
      </c>
      <c r="AW16" s="41">
        <v>0</v>
      </c>
      <c r="AX16" s="41">
        <v>0</v>
      </c>
      <c r="AY16" s="41">
        <v>0</v>
      </c>
      <c r="AZ16" s="41"/>
      <c r="BA16" s="41">
        <v>0</v>
      </c>
      <c r="BB16" s="41">
        <v>0</v>
      </c>
      <c r="BC16" s="41">
        <v>3</v>
      </c>
      <c r="BD16" s="41">
        <v>4</v>
      </c>
      <c r="BE16" s="41">
        <v>4</v>
      </c>
      <c r="BF16" s="62">
        <f t="shared" si="24"/>
        <v>0</v>
      </c>
      <c r="BG16" s="41">
        <f t="shared" si="25"/>
        <v>0</v>
      </c>
      <c r="BH16" s="41">
        <f t="shared" si="26"/>
        <v>0</v>
      </c>
      <c r="BI16" s="41">
        <f t="shared" si="27"/>
        <v>0</v>
      </c>
      <c r="BJ16" s="41">
        <f t="shared" si="28"/>
        <v>0</v>
      </c>
      <c r="BK16" s="41">
        <f t="shared" si="29"/>
        <v>0</v>
      </c>
      <c r="BL16" s="41">
        <f t="shared" si="30"/>
        <v>3</v>
      </c>
      <c r="BM16" s="41">
        <f t="shared" si="31"/>
        <v>4</v>
      </c>
      <c r="BN16" s="41">
        <f t="shared" si="32"/>
        <v>4</v>
      </c>
      <c r="BO16" s="41">
        <v>5</v>
      </c>
      <c r="BP16" s="41">
        <v>18</v>
      </c>
      <c r="BQ16" s="41">
        <v>16</v>
      </c>
      <c r="BR16" s="41">
        <v>12</v>
      </c>
      <c r="BS16" s="41">
        <v>7</v>
      </c>
      <c r="BT16" s="41">
        <v>23</v>
      </c>
      <c r="BU16" s="41">
        <v>26</v>
      </c>
      <c r="BV16" s="41">
        <v>17</v>
      </c>
      <c r="BW16" s="1">
        <v>20</v>
      </c>
      <c r="BX16" s="1">
        <v>20</v>
      </c>
      <c r="BY16" s="1">
        <v>26</v>
      </c>
      <c r="BZ16" s="1">
        <v>42</v>
      </c>
      <c r="CA16" s="1">
        <v>34</v>
      </c>
      <c r="CB16" s="1">
        <v>39</v>
      </c>
      <c r="CC16" s="1">
        <v>40</v>
      </c>
      <c r="CD16" s="1">
        <v>39</v>
      </c>
      <c r="CE16" s="1">
        <v>35</v>
      </c>
    </row>
    <row r="17" spans="1:83">
      <c r="A17" s="37" t="s">
        <v>24</v>
      </c>
      <c r="B17" s="62" t="s">
        <v>115</v>
      </c>
      <c r="C17" s="41" t="s">
        <v>115</v>
      </c>
      <c r="D17" s="41" t="s">
        <v>115</v>
      </c>
      <c r="E17" s="41" t="s">
        <v>115</v>
      </c>
      <c r="F17" s="41">
        <v>11</v>
      </c>
      <c r="G17" s="41">
        <v>8</v>
      </c>
      <c r="H17" s="41">
        <v>8</v>
      </c>
      <c r="I17" s="41">
        <f>11+1</f>
        <v>12</v>
      </c>
      <c r="J17" s="41">
        <v>9</v>
      </c>
      <c r="K17" s="41">
        <v>12</v>
      </c>
      <c r="L17" s="41">
        <v>10</v>
      </c>
      <c r="M17" s="41">
        <v>22</v>
      </c>
      <c r="N17" s="41">
        <v>8</v>
      </c>
      <c r="O17" s="41">
        <v>28</v>
      </c>
      <c r="P17" s="41">
        <v>24</v>
      </c>
      <c r="Q17" s="41">
        <v>11</v>
      </c>
      <c r="R17" s="41">
        <v>30</v>
      </c>
      <c r="S17" s="41">
        <v>11</v>
      </c>
      <c r="T17" s="41">
        <v>10</v>
      </c>
      <c r="U17" s="41">
        <v>22</v>
      </c>
      <c r="V17" s="41">
        <v>20</v>
      </c>
      <c r="W17" s="41">
        <v>14</v>
      </c>
      <c r="X17" s="41">
        <v>20</v>
      </c>
      <c r="Y17" s="41">
        <v>17</v>
      </c>
      <c r="Z17" s="41">
        <v>10</v>
      </c>
      <c r="AA17" s="41">
        <v>23</v>
      </c>
      <c r="AB17" s="41">
        <v>19</v>
      </c>
      <c r="AC17" s="41">
        <v>20</v>
      </c>
      <c r="AD17" s="41">
        <v>19</v>
      </c>
      <c r="AE17" s="1">
        <v>21</v>
      </c>
      <c r="AF17" s="1">
        <v>14</v>
      </c>
      <c r="AG17" s="1">
        <v>36</v>
      </c>
      <c r="AH17" s="1">
        <v>17</v>
      </c>
      <c r="AI17" s="62">
        <v>0</v>
      </c>
      <c r="AJ17" s="41"/>
      <c r="AK17" s="41">
        <v>0</v>
      </c>
      <c r="AL17" s="41">
        <v>0</v>
      </c>
      <c r="AM17" s="41">
        <v>0</v>
      </c>
      <c r="AN17" s="41">
        <v>0</v>
      </c>
      <c r="AO17" s="41"/>
      <c r="AP17" s="41"/>
      <c r="AQ17" s="41">
        <v>0</v>
      </c>
      <c r="AR17" s="41">
        <v>0</v>
      </c>
      <c r="AS17" s="41">
        <v>0</v>
      </c>
      <c r="AT17" s="41"/>
      <c r="AU17" s="62"/>
      <c r="AV17" s="41">
        <v>0</v>
      </c>
      <c r="AW17" s="41">
        <v>0</v>
      </c>
      <c r="AX17" s="41">
        <v>0</v>
      </c>
      <c r="AY17" s="41">
        <v>0</v>
      </c>
      <c r="AZ17" s="41"/>
      <c r="BA17" s="41"/>
      <c r="BB17" s="41">
        <v>0</v>
      </c>
      <c r="BC17" s="41">
        <v>0</v>
      </c>
      <c r="BD17" s="41">
        <v>0</v>
      </c>
      <c r="BE17" s="41"/>
      <c r="BF17" s="62">
        <f t="shared" si="24"/>
        <v>0</v>
      </c>
      <c r="BG17" s="41">
        <f t="shared" si="25"/>
        <v>0</v>
      </c>
      <c r="BH17" s="41">
        <f t="shared" si="26"/>
        <v>0</v>
      </c>
      <c r="BI17" s="41">
        <f t="shared" si="27"/>
        <v>0</v>
      </c>
      <c r="BJ17" s="41">
        <f t="shared" si="28"/>
        <v>0</v>
      </c>
      <c r="BK17" s="41">
        <f t="shared" si="29"/>
        <v>0</v>
      </c>
      <c r="BL17" s="41">
        <f t="shared" si="30"/>
        <v>0</v>
      </c>
      <c r="BM17" s="41">
        <f t="shared" si="31"/>
        <v>0</v>
      </c>
      <c r="BN17" s="41">
        <f t="shared" si="32"/>
        <v>0</v>
      </c>
      <c r="BO17" s="41"/>
      <c r="BP17" s="41"/>
      <c r="BQ17" s="41"/>
      <c r="BR17" s="41">
        <v>2</v>
      </c>
      <c r="BS17" s="41">
        <v>2</v>
      </c>
      <c r="BT17" s="41">
        <v>2</v>
      </c>
      <c r="BU17" s="41">
        <v>5</v>
      </c>
      <c r="BV17" s="41"/>
      <c r="BX17" s="1">
        <v>0</v>
      </c>
      <c r="BY17" s="1">
        <v>0</v>
      </c>
      <c r="CA17" s="1">
        <v>0</v>
      </c>
      <c r="CB17" s="1">
        <v>0</v>
      </c>
      <c r="CC17" s="1">
        <v>0</v>
      </c>
      <c r="CD17" s="1">
        <v>2</v>
      </c>
    </row>
    <row r="18" spans="1:83">
      <c r="A18" s="37" t="s">
        <v>25</v>
      </c>
      <c r="B18" s="62">
        <v>14</v>
      </c>
      <c r="C18" s="41">
        <v>10</v>
      </c>
      <c r="D18" s="41">
        <v>8</v>
      </c>
      <c r="E18" s="41">
        <v>10</v>
      </c>
      <c r="F18" s="41">
        <v>7</v>
      </c>
      <c r="G18" s="41">
        <v>18</v>
      </c>
      <c r="H18" s="41">
        <f>17+1</f>
        <v>18</v>
      </c>
      <c r="I18" s="41">
        <f>20+0</f>
        <v>20</v>
      </c>
      <c r="J18" s="41">
        <v>19</v>
      </c>
      <c r="K18" s="41">
        <v>21</v>
      </c>
      <c r="L18" s="41">
        <v>34</v>
      </c>
      <c r="M18" s="41">
        <v>26</v>
      </c>
      <c r="N18" s="41">
        <v>21</v>
      </c>
      <c r="O18" s="41">
        <v>27</v>
      </c>
      <c r="P18" s="41">
        <v>34</v>
      </c>
      <c r="Q18" s="41">
        <v>47</v>
      </c>
      <c r="R18" s="41">
        <v>47</v>
      </c>
      <c r="S18" s="41">
        <v>45</v>
      </c>
      <c r="T18" s="41">
        <v>37</v>
      </c>
      <c r="U18" s="41">
        <v>43</v>
      </c>
      <c r="V18" s="41">
        <v>62</v>
      </c>
      <c r="W18" s="41">
        <v>44</v>
      </c>
      <c r="X18" s="41">
        <v>59</v>
      </c>
      <c r="Y18" s="41">
        <v>66</v>
      </c>
      <c r="Z18" s="41">
        <v>56</v>
      </c>
      <c r="AA18" s="41">
        <v>50</v>
      </c>
      <c r="AB18" s="41">
        <v>75</v>
      </c>
      <c r="AC18" s="41">
        <v>63</v>
      </c>
      <c r="AD18" s="41">
        <v>108</v>
      </c>
      <c r="AE18" s="1">
        <v>73</v>
      </c>
      <c r="AF18" s="1">
        <v>66</v>
      </c>
      <c r="AG18" s="1">
        <v>68</v>
      </c>
      <c r="AH18" s="1">
        <v>70</v>
      </c>
      <c r="AI18" s="62">
        <v>0</v>
      </c>
      <c r="AJ18" s="41">
        <v>7</v>
      </c>
      <c r="AK18" s="41">
        <v>7</v>
      </c>
      <c r="AL18" s="41">
        <v>12</v>
      </c>
      <c r="AM18" s="41">
        <v>0</v>
      </c>
      <c r="AN18" s="41">
        <v>6</v>
      </c>
      <c r="AO18" s="41">
        <v>15</v>
      </c>
      <c r="AP18" s="41">
        <v>10</v>
      </c>
      <c r="AQ18" s="41">
        <v>10</v>
      </c>
      <c r="AR18" s="41">
        <v>1</v>
      </c>
      <c r="AS18" s="41">
        <v>13</v>
      </c>
      <c r="AT18" s="41">
        <v>23</v>
      </c>
      <c r="AU18" s="62">
        <v>7</v>
      </c>
      <c r="AV18" s="41">
        <v>7</v>
      </c>
      <c r="AW18" s="41">
        <v>12</v>
      </c>
      <c r="AX18" s="41">
        <v>0</v>
      </c>
      <c r="AY18" s="41">
        <v>6</v>
      </c>
      <c r="AZ18" s="41">
        <v>15</v>
      </c>
      <c r="BA18" s="41">
        <v>10</v>
      </c>
      <c r="BB18" s="41">
        <v>10</v>
      </c>
      <c r="BC18" s="41">
        <v>1</v>
      </c>
      <c r="BD18" s="41">
        <v>13</v>
      </c>
      <c r="BE18" s="41">
        <v>23</v>
      </c>
      <c r="BF18" s="62">
        <f t="shared" si="24"/>
        <v>7</v>
      </c>
      <c r="BG18" s="41">
        <f t="shared" si="25"/>
        <v>0</v>
      </c>
      <c r="BH18" s="41">
        <f t="shared" si="26"/>
        <v>6</v>
      </c>
      <c r="BI18" s="41">
        <f t="shared" si="27"/>
        <v>15</v>
      </c>
      <c r="BJ18" s="41">
        <f t="shared" si="28"/>
        <v>10</v>
      </c>
      <c r="BK18" s="41">
        <f t="shared" si="29"/>
        <v>10</v>
      </c>
      <c r="BL18" s="41">
        <f t="shared" si="30"/>
        <v>1</v>
      </c>
      <c r="BM18" s="41">
        <f t="shared" si="31"/>
        <v>13</v>
      </c>
      <c r="BN18" s="41">
        <f t="shared" si="32"/>
        <v>23</v>
      </c>
      <c r="BO18" s="41">
        <v>19</v>
      </c>
      <c r="BP18" s="41">
        <v>24</v>
      </c>
      <c r="BQ18" s="41">
        <v>16</v>
      </c>
      <c r="BR18" s="41">
        <v>10</v>
      </c>
      <c r="BS18" s="41">
        <v>32</v>
      </c>
      <c r="BT18" s="41">
        <v>9</v>
      </c>
      <c r="BU18" s="41">
        <v>22</v>
      </c>
      <c r="BV18" s="41">
        <v>21</v>
      </c>
      <c r="BW18" s="1">
        <v>13</v>
      </c>
      <c r="BX18" s="1">
        <v>8</v>
      </c>
      <c r="BY18" s="1">
        <v>19</v>
      </c>
      <c r="BZ18" s="1">
        <v>15</v>
      </c>
      <c r="CA18" s="1">
        <v>29</v>
      </c>
      <c r="CB18" s="1">
        <v>13</v>
      </c>
      <c r="CC18" s="1">
        <v>7</v>
      </c>
      <c r="CD18" s="1">
        <v>11</v>
      </c>
      <c r="CE18" s="1">
        <v>11</v>
      </c>
    </row>
    <row r="19" spans="1:83">
      <c r="A19" s="37" t="s">
        <v>26</v>
      </c>
      <c r="B19" s="62">
        <v>14</v>
      </c>
      <c r="C19" s="41">
        <v>29</v>
      </c>
      <c r="D19" s="41">
        <v>43</v>
      </c>
      <c r="E19" s="41">
        <v>34</v>
      </c>
      <c r="F19" s="41">
        <f>30+7</f>
        <v>37</v>
      </c>
      <c r="G19" s="41">
        <v>30</v>
      </c>
      <c r="H19" s="41">
        <f>21+15</f>
        <v>36</v>
      </c>
      <c r="I19" s="41">
        <f>18+26</f>
        <v>44</v>
      </c>
      <c r="J19" s="41">
        <v>57</v>
      </c>
      <c r="K19" s="41">
        <v>42</v>
      </c>
      <c r="L19" s="41">
        <v>18</v>
      </c>
      <c r="M19" s="41">
        <v>33</v>
      </c>
      <c r="N19" s="41">
        <v>35</v>
      </c>
      <c r="O19" s="41">
        <v>43</v>
      </c>
      <c r="P19" s="41">
        <v>54</v>
      </c>
      <c r="Q19" s="41">
        <v>54</v>
      </c>
      <c r="R19" s="41">
        <v>63</v>
      </c>
      <c r="S19" s="41">
        <v>82</v>
      </c>
      <c r="T19" s="41">
        <v>87</v>
      </c>
      <c r="U19" s="41">
        <v>79</v>
      </c>
      <c r="V19" s="41">
        <v>89</v>
      </c>
      <c r="W19" s="41">
        <v>56</v>
      </c>
      <c r="X19" s="41">
        <v>100</v>
      </c>
      <c r="Y19" s="41">
        <v>92</v>
      </c>
      <c r="Z19" s="41">
        <v>120</v>
      </c>
      <c r="AA19" s="41">
        <v>131</v>
      </c>
      <c r="AB19" s="41">
        <v>132</v>
      </c>
      <c r="AC19" s="41">
        <v>139</v>
      </c>
      <c r="AD19" s="41">
        <v>158</v>
      </c>
      <c r="AE19" s="1">
        <v>170</v>
      </c>
      <c r="AF19" s="1">
        <v>203</v>
      </c>
      <c r="AG19" s="1">
        <v>197</v>
      </c>
      <c r="AH19" s="1">
        <v>236</v>
      </c>
      <c r="AI19" s="62">
        <v>7</v>
      </c>
      <c r="AJ19" s="41">
        <v>6</v>
      </c>
      <c r="AK19" s="41">
        <v>13</v>
      </c>
      <c r="AL19" s="41">
        <v>7</v>
      </c>
      <c r="AM19" s="41">
        <v>14</v>
      </c>
      <c r="AN19" s="41">
        <v>14</v>
      </c>
      <c r="AO19" s="41">
        <v>6</v>
      </c>
      <c r="AP19" s="41">
        <v>7</v>
      </c>
      <c r="AQ19" s="41">
        <v>18</v>
      </c>
      <c r="AR19" s="41">
        <v>19</v>
      </c>
      <c r="AS19" s="41">
        <v>22</v>
      </c>
      <c r="AT19" s="41">
        <v>22</v>
      </c>
      <c r="AU19" s="62">
        <v>6</v>
      </c>
      <c r="AV19" s="41">
        <v>13</v>
      </c>
      <c r="AW19" s="41">
        <v>7</v>
      </c>
      <c r="AX19" s="41">
        <v>14</v>
      </c>
      <c r="AY19" s="41">
        <v>14</v>
      </c>
      <c r="AZ19" s="41">
        <v>6</v>
      </c>
      <c r="BA19" s="41">
        <v>7</v>
      </c>
      <c r="BB19" s="41">
        <v>18</v>
      </c>
      <c r="BC19" s="41">
        <v>19</v>
      </c>
      <c r="BD19" s="41">
        <v>22</v>
      </c>
      <c r="BE19" s="41">
        <v>22</v>
      </c>
      <c r="BF19" s="62">
        <f t="shared" si="24"/>
        <v>6</v>
      </c>
      <c r="BG19" s="41">
        <f t="shared" si="25"/>
        <v>14</v>
      </c>
      <c r="BH19" s="41">
        <f t="shared" si="26"/>
        <v>14</v>
      </c>
      <c r="BI19" s="41">
        <f t="shared" si="27"/>
        <v>6</v>
      </c>
      <c r="BJ19" s="41">
        <f t="shared" si="28"/>
        <v>7</v>
      </c>
      <c r="BK19" s="41">
        <f t="shared" si="29"/>
        <v>18</v>
      </c>
      <c r="BL19" s="41">
        <f t="shared" si="30"/>
        <v>19</v>
      </c>
      <c r="BM19" s="41">
        <f t="shared" si="31"/>
        <v>22</v>
      </c>
      <c r="BN19" s="41">
        <f t="shared" si="32"/>
        <v>22</v>
      </c>
      <c r="BO19" s="41">
        <v>23</v>
      </c>
      <c r="BP19" s="41">
        <v>24</v>
      </c>
      <c r="BQ19" s="41">
        <v>27</v>
      </c>
      <c r="BR19" s="41">
        <v>26</v>
      </c>
      <c r="BS19" s="41">
        <v>18</v>
      </c>
      <c r="BT19" s="41">
        <v>7</v>
      </c>
      <c r="BU19" s="41">
        <v>20</v>
      </c>
      <c r="BV19" s="41">
        <v>24</v>
      </c>
      <c r="BW19" s="1">
        <v>22</v>
      </c>
      <c r="BX19" s="1">
        <v>27</v>
      </c>
      <c r="BY19" s="1">
        <v>33</v>
      </c>
      <c r="BZ19" s="1">
        <v>31</v>
      </c>
      <c r="CA19" s="1">
        <v>14</v>
      </c>
      <c r="CB19" s="1">
        <v>27</v>
      </c>
      <c r="CC19" s="1">
        <v>21</v>
      </c>
      <c r="CD19" s="1">
        <v>22</v>
      </c>
      <c r="CE19" s="1">
        <v>32</v>
      </c>
    </row>
    <row r="20" spans="1:83">
      <c r="A20" s="37" t="s">
        <v>27</v>
      </c>
      <c r="B20" s="62">
        <v>55</v>
      </c>
      <c r="C20" s="41">
        <v>29</v>
      </c>
      <c r="D20" s="41">
        <v>42</v>
      </c>
      <c r="E20" s="41">
        <v>48</v>
      </c>
      <c r="F20" s="41">
        <f>41+8</f>
        <v>49</v>
      </c>
      <c r="G20" s="41">
        <v>52</v>
      </c>
      <c r="H20" s="41">
        <f>37+2</f>
        <v>39</v>
      </c>
      <c r="I20" s="41">
        <f>61+5</f>
        <v>66</v>
      </c>
      <c r="J20" s="41">
        <v>60</v>
      </c>
      <c r="K20" s="41">
        <v>59</v>
      </c>
      <c r="L20" s="41">
        <v>71</v>
      </c>
      <c r="M20" s="41">
        <v>86</v>
      </c>
      <c r="N20" s="41">
        <v>72</v>
      </c>
      <c r="O20" s="41">
        <v>76</v>
      </c>
      <c r="P20" s="41">
        <v>72</v>
      </c>
      <c r="Q20" s="41">
        <v>122</v>
      </c>
      <c r="R20" s="41">
        <v>97</v>
      </c>
      <c r="S20" s="41">
        <v>93</v>
      </c>
      <c r="T20" s="41">
        <v>110</v>
      </c>
      <c r="U20" s="41">
        <v>103</v>
      </c>
      <c r="V20" s="41">
        <v>154</v>
      </c>
      <c r="W20" s="41">
        <v>167</v>
      </c>
      <c r="X20" s="41">
        <v>163</v>
      </c>
      <c r="Y20" s="41">
        <v>162</v>
      </c>
      <c r="Z20" s="41">
        <v>222</v>
      </c>
      <c r="AA20" s="41">
        <v>254</v>
      </c>
      <c r="AB20" s="41">
        <v>233</v>
      </c>
      <c r="AC20" s="41">
        <v>269</v>
      </c>
      <c r="AD20" s="41">
        <v>297</v>
      </c>
      <c r="AE20" s="1">
        <v>294</v>
      </c>
      <c r="AF20" s="1">
        <v>321</v>
      </c>
      <c r="AG20" s="1">
        <v>301</v>
      </c>
      <c r="AH20" s="1">
        <v>359</v>
      </c>
      <c r="AI20" s="62">
        <v>8</v>
      </c>
      <c r="AJ20" s="41">
        <v>13</v>
      </c>
      <c r="AK20" s="41">
        <v>0</v>
      </c>
      <c r="AL20" s="41">
        <v>15</v>
      </c>
      <c r="AM20" s="41">
        <v>12</v>
      </c>
      <c r="AN20" s="41">
        <v>0</v>
      </c>
      <c r="AO20" s="41">
        <v>8</v>
      </c>
      <c r="AP20" s="41">
        <v>23</v>
      </c>
      <c r="AQ20" s="41">
        <v>18</v>
      </c>
      <c r="AR20" s="41">
        <v>12</v>
      </c>
      <c r="AS20" s="41">
        <v>10</v>
      </c>
      <c r="AT20" s="41">
        <v>15</v>
      </c>
      <c r="AU20" s="62">
        <v>13</v>
      </c>
      <c r="AV20" s="41">
        <v>0</v>
      </c>
      <c r="AW20" s="41">
        <v>15</v>
      </c>
      <c r="AX20" s="41">
        <v>12</v>
      </c>
      <c r="AY20" s="41">
        <v>0</v>
      </c>
      <c r="AZ20" s="41">
        <v>8</v>
      </c>
      <c r="BA20" s="41">
        <v>23</v>
      </c>
      <c r="BB20" s="41">
        <v>18</v>
      </c>
      <c r="BC20" s="41">
        <v>12</v>
      </c>
      <c r="BD20" s="41">
        <v>10</v>
      </c>
      <c r="BE20" s="41">
        <v>15</v>
      </c>
      <c r="BF20" s="62">
        <f t="shared" si="24"/>
        <v>13</v>
      </c>
      <c r="BG20" s="41">
        <f t="shared" si="25"/>
        <v>12</v>
      </c>
      <c r="BH20" s="41">
        <f t="shared" si="26"/>
        <v>0</v>
      </c>
      <c r="BI20" s="41">
        <f t="shared" si="27"/>
        <v>8</v>
      </c>
      <c r="BJ20" s="41">
        <f t="shared" si="28"/>
        <v>23</v>
      </c>
      <c r="BK20" s="41">
        <f t="shared" si="29"/>
        <v>18</v>
      </c>
      <c r="BL20" s="41">
        <f t="shared" si="30"/>
        <v>12</v>
      </c>
      <c r="BM20" s="41">
        <f t="shared" si="31"/>
        <v>10</v>
      </c>
      <c r="BN20" s="41">
        <f t="shared" si="32"/>
        <v>15</v>
      </c>
      <c r="BO20" s="41">
        <v>16</v>
      </c>
      <c r="BP20" s="41">
        <v>11</v>
      </c>
      <c r="BQ20" s="41">
        <v>12</v>
      </c>
      <c r="BR20" s="41">
        <v>15</v>
      </c>
      <c r="BS20" s="41">
        <v>44</v>
      </c>
      <c r="BT20" s="41">
        <v>25</v>
      </c>
      <c r="BU20" s="41">
        <v>34</v>
      </c>
      <c r="BV20" s="41">
        <v>24</v>
      </c>
      <c r="BW20" s="1">
        <v>31</v>
      </c>
      <c r="BX20" s="1">
        <v>35</v>
      </c>
      <c r="BY20" s="1">
        <v>28</v>
      </c>
      <c r="BZ20" s="1">
        <v>41</v>
      </c>
      <c r="CA20" s="1">
        <v>36</v>
      </c>
      <c r="CB20" s="1">
        <v>48</v>
      </c>
      <c r="CC20" s="1">
        <v>45</v>
      </c>
      <c r="CD20" s="1">
        <v>31</v>
      </c>
      <c r="CE20" s="1">
        <v>38</v>
      </c>
    </row>
    <row r="21" spans="1:83">
      <c r="A21" s="37" t="s">
        <v>28</v>
      </c>
      <c r="B21" s="62">
        <v>18</v>
      </c>
      <c r="C21" s="41">
        <v>27</v>
      </c>
      <c r="D21" s="41">
        <v>21</v>
      </c>
      <c r="E21" s="41">
        <v>25</v>
      </c>
      <c r="F21" s="41">
        <v>23</v>
      </c>
      <c r="G21" s="41">
        <v>19</v>
      </c>
      <c r="H21" s="41">
        <v>21</v>
      </c>
      <c r="I21" s="41">
        <f>26+0</f>
        <v>26</v>
      </c>
      <c r="J21" s="41">
        <v>30</v>
      </c>
      <c r="K21" s="41">
        <v>35</v>
      </c>
      <c r="L21" s="41">
        <v>35</v>
      </c>
      <c r="M21" s="41">
        <v>54</v>
      </c>
      <c r="N21" s="41">
        <v>74</v>
      </c>
      <c r="O21" s="41">
        <v>60</v>
      </c>
      <c r="P21" s="41">
        <v>134</v>
      </c>
      <c r="Q21" s="41">
        <v>73</v>
      </c>
      <c r="R21" s="41">
        <v>76</v>
      </c>
      <c r="S21" s="41">
        <v>87</v>
      </c>
      <c r="T21" s="41">
        <v>120</v>
      </c>
      <c r="U21" s="41">
        <v>140</v>
      </c>
      <c r="V21" s="41">
        <v>120</v>
      </c>
      <c r="W21" s="41">
        <v>133</v>
      </c>
      <c r="X21" s="41">
        <v>157</v>
      </c>
      <c r="Y21" s="41">
        <v>149</v>
      </c>
      <c r="Z21" s="41">
        <v>217</v>
      </c>
      <c r="AA21" s="41">
        <v>156</v>
      </c>
      <c r="AB21" s="41">
        <v>187</v>
      </c>
      <c r="AC21" s="41">
        <v>209</v>
      </c>
      <c r="AD21" s="41">
        <v>235</v>
      </c>
      <c r="AE21" s="1">
        <v>211</v>
      </c>
      <c r="AF21" s="1">
        <v>263</v>
      </c>
      <c r="AG21" s="1">
        <v>226</v>
      </c>
      <c r="AH21" s="1">
        <v>246</v>
      </c>
      <c r="AI21" s="62">
        <v>0</v>
      </c>
      <c r="AJ21" s="41"/>
      <c r="AK21" s="41">
        <v>0</v>
      </c>
      <c r="AL21" s="41">
        <v>0</v>
      </c>
      <c r="AM21" s="41">
        <v>0</v>
      </c>
      <c r="AN21" s="41">
        <v>4</v>
      </c>
      <c r="AO21" s="41">
        <v>2</v>
      </c>
      <c r="AP21" s="41">
        <v>5</v>
      </c>
      <c r="AQ21" s="41">
        <v>9</v>
      </c>
      <c r="AR21" s="41">
        <v>5</v>
      </c>
      <c r="AS21" s="41">
        <v>64</v>
      </c>
      <c r="AT21" s="41">
        <v>4</v>
      </c>
      <c r="AU21" s="62"/>
      <c r="AV21" s="41">
        <v>0</v>
      </c>
      <c r="AW21" s="41">
        <v>0</v>
      </c>
      <c r="AX21" s="41">
        <v>0</v>
      </c>
      <c r="AY21" s="41">
        <v>4</v>
      </c>
      <c r="AZ21" s="41">
        <v>2</v>
      </c>
      <c r="BA21" s="41">
        <v>5</v>
      </c>
      <c r="BB21" s="41">
        <v>9</v>
      </c>
      <c r="BC21" s="41">
        <v>5</v>
      </c>
      <c r="BD21" s="41">
        <v>64</v>
      </c>
      <c r="BE21" s="41">
        <v>4</v>
      </c>
      <c r="BF21" s="62">
        <f t="shared" si="24"/>
        <v>0</v>
      </c>
      <c r="BG21" s="41">
        <f t="shared" si="25"/>
        <v>0</v>
      </c>
      <c r="BH21" s="41">
        <f t="shared" si="26"/>
        <v>4</v>
      </c>
      <c r="BI21" s="41">
        <f t="shared" si="27"/>
        <v>2</v>
      </c>
      <c r="BJ21" s="41">
        <f t="shared" si="28"/>
        <v>5</v>
      </c>
      <c r="BK21" s="41">
        <f t="shared" si="29"/>
        <v>9</v>
      </c>
      <c r="BL21" s="41">
        <f t="shared" si="30"/>
        <v>5</v>
      </c>
      <c r="BM21" s="41">
        <f t="shared" si="31"/>
        <v>64</v>
      </c>
      <c r="BN21" s="41">
        <f t="shared" si="32"/>
        <v>4</v>
      </c>
      <c r="BO21" s="41">
        <v>15</v>
      </c>
      <c r="BP21" s="41">
        <v>7</v>
      </c>
      <c r="BQ21" s="41">
        <v>22</v>
      </c>
      <c r="BR21" s="41">
        <v>29</v>
      </c>
      <c r="BS21" s="41">
        <v>32</v>
      </c>
      <c r="BT21" s="41">
        <v>27</v>
      </c>
      <c r="BU21" s="41">
        <v>23</v>
      </c>
      <c r="BV21" s="41">
        <v>13</v>
      </c>
      <c r="BW21" s="1">
        <v>12</v>
      </c>
      <c r="BX21" s="1">
        <v>6</v>
      </c>
      <c r="BY21" s="1">
        <v>9</v>
      </c>
      <c r="BZ21" s="1">
        <v>48</v>
      </c>
      <c r="CA21" s="1">
        <v>35</v>
      </c>
      <c r="CB21" s="1">
        <v>30</v>
      </c>
      <c r="CC21" s="1">
        <v>53</v>
      </c>
      <c r="CD21" s="1">
        <v>30</v>
      </c>
      <c r="CE21" s="1">
        <v>37</v>
      </c>
    </row>
    <row r="22" spans="1:83">
      <c r="A22" s="42" t="s">
        <v>29</v>
      </c>
      <c r="B22" s="63">
        <v>2</v>
      </c>
      <c r="C22" s="43">
        <v>0</v>
      </c>
      <c r="D22" s="43">
        <v>1</v>
      </c>
      <c r="E22" s="43">
        <v>1</v>
      </c>
      <c r="F22" s="43">
        <v>1</v>
      </c>
      <c r="G22" s="43">
        <v>2</v>
      </c>
      <c r="H22" s="43">
        <v>3</v>
      </c>
      <c r="I22" s="43">
        <f>1+0</f>
        <v>1</v>
      </c>
      <c r="J22" s="43">
        <v>6</v>
      </c>
      <c r="K22" s="43">
        <v>2</v>
      </c>
      <c r="L22" s="43">
        <v>0</v>
      </c>
      <c r="M22" s="43">
        <v>2</v>
      </c>
      <c r="N22" s="43">
        <v>1</v>
      </c>
      <c r="O22" s="43">
        <v>4</v>
      </c>
      <c r="P22" s="43">
        <v>0</v>
      </c>
      <c r="Q22" s="43">
        <v>1</v>
      </c>
      <c r="R22" s="43">
        <v>3</v>
      </c>
      <c r="S22" s="43">
        <v>3</v>
      </c>
      <c r="T22" s="43">
        <v>5</v>
      </c>
      <c r="U22" s="43">
        <v>1</v>
      </c>
      <c r="V22" s="43">
        <v>3</v>
      </c>
      <c r="W22" s="43">
        <v>2</v>
      </c>
      <c r="X22" s="43">
        <v>3</v>
      </c>
      <c r="Y22" s="43">
        <v>4</v>
      </c>
      <c r="Z22" s="43">
        <v>1</v>
      </c>
      <c r="AA22" s="43">
        <v>4</v>
      </c>
      <c r="AB22" s="43">
        <v>4</v>
      </c>
      <c r="AC22" s="43">
        <v>3</v>
      </c>
      <c r="AD22" s="43">
        <v>10</v>
      </c>
      <c r="AE22" s="6">
        <v>4</v>
      </c>
      <c r="AF22" s="6">
        <v>9</v>
      </c>
      <c r="AG22" s="6">
        <v>6</v>
      </c>
      <c r="AH22" s="6">
        <v>8</v>
      </c>
      <c r="AI22" s="63">
        <v>0</v>
      </c>
      <c r="AJ22" s="43"/>
      <c r="AK22" s="43">
        <v>0</v>
      </c>
      <c r="AL22" s="43">
        <v>0</v>
      </c>
      <c r="AM22" s="43"/>
      <c r="AN22" s="43"/>
      <c r="AO22" s="43"/>
      <c r="AP22" s="43"/>
      <c r="AQ22" s="43"/>
      <c r="AR22" s="43"/>
      <c r="AS22" s="43"/>
      <c r="AT22" s="43"/>
      <c r="AU22" s="63"/>
      <c r="AV22" s="43">
        <v>0</v>
      </c>
      <c r="AW22" s="43">
        <v>0</v>
      </c>
      <c r="AX22" s="43">
        <v>0</v>
      </c>
      <c r="AY22" s="43">
        <v>0</v>
      </c>
      <c r="AZ22" s="43"/>
      <c r="BA22" s="43"/>
      <c r="BB22" s="43"/>
      <c r="BC22" s="43"/>
      <c r="BD22" s="43"/>
      <c r="BE22" s="43"/>
      <c r="BF22" s="63">
        <f t="shared" si="24"/>
        <v>0</v>
      </c>
      <c r="BG22" s="43">
        <f t="shared" si="25"/>
        <v>0</v>
      </c>
      <c r="BH22" s="43">
        <f t="shared" si="26"/>
        <v>0</v>
      </c>
      <c r="BI22" s="43">
        <f t="shared" si="27"/>
        <v>0</v>
      </c>
      <c r="BJ22" s="43">
        <f t="shared" si="28"/>
        <v>0</v>
      </c>
      <c r="BK22" s="43">
        <f t="shared" si="29"/>
        <v>0</v>
      </c>
      <c r="BL22" s="43">
        <f t="shared" si="30"/>
        <v>0</v>
      </c>
      <c r="BM22" s="43">
        <f t="shared" si="31"/>
        <v>0</v>
      </c>
      <c r="BN22" s="43">
        <f t="shared" si="32"/>
        <v>0</v>
      </c>
      <c r="BO22" s="43"/>
      <c r="BP22" s="43"/>
      <c r="BQ22" s="43"/>
      <c r="BR22" s="43"/>
      <c r="BS22" s="43"/>
      <c r="BT22" s="43"/>
      <c r="BU22" s="43"/>
      <c r="BV22" s="43"/>
      <c r="BX22" s="6">
        <v>0</v>
      </c>
      <c r="BY22" s="1">
        <v>0</v>
      </c>
      <c r="BZ22" s="1">
        <v>0</v>
      </c>
      <c r="CA22" s="1">
        <v>0</v>
      </c>
      <c r="CB22" s="1">
        <v>0</v>
      </c>
      <c r="CC22" s="1">
        <v>0</v>
      </c>
      <c r="CD22" s="1">
        <v>0</v>
      </c>
      <c r="CE22" s="6"/>
    </row>
    <row r="23" spans="1:83">
      <c r="A23" s="37" t="s">
        <v>210</v>
      </c>
      <c r="B23" s="60">
        <f t="shared" ref="B23:BU23" si="33">SUM(B25:B37)</f>
        <v>0</v>
      </c>
      <c r="C23" s="38">
        <f t="shared" si="33"/>
        <v>0</v>
      </c>
      <c r="D23" s="38">
        <f t="shared" si="33"/>
        <v>0</v>
      </c>
      <c r="E23" s="38">
        <f t="shared" si="33"/>
        <v>0</v>
      </c>
      <c r="F23" s="38">
        <f t="shared" si="33"/>
        <v>0</v>
      </c>
      <c r="G23" s="38">
        <f t="shared" si="33"/>
        <v>116</v>
      </c>
      <c r="H23" s="38">
        <f t="shared" si="33"/>
        <v>0</v>
      </c>
      <c r="I23" s="38">
        <f t="shared" si="33"/>
        <v>0</v>
      </c>
      <c r="J23" s="38">
        <f t="shared" si="33"/>
        <v>148</v>
      </c>
      <c r="K23" s="38">
        <f t="shared" si="33"/>
        <v>151</v>
      </c>
      <c r="L23" s="38">
        <f t="shared" si="33"/>
        <v>142</v>
      </c>
      <c r="M23" s="38">
        <f t="shared" si="33"/>
        <v>169</v>
      </c>
      <c r="N23" s="38">
        <f t="shared" si="33"/>
        <v>169</v>
      </c>
      <c r="O23" s="38">
        <f t="shared" si="33"/>
        <v>203</v>
      </c>
      <c r="P23" s="38">
        <f t="shared" si="33"/>
        <v>234</v>
      </c>
      <c r="Q23" s="38">
        <f t="shared" si="33"/>
        <v>267</v>
      </c>
      <c r="R23" s="38">
        <f t="shared" si="33"/>
        <v>246</v>
      </c>
      <c r="S23" s="38">
        <f t="shared" si="33"/>
        <v>272</v>
      </c>
      <c r="T23" s="38">
        <f t="shared" si="33"/>
        <v>292</v>
      </c>
      <c r="U23" s="38">
        <f t="shared" si="33"/>
        <v>289</v>
      </c>
      <c r="V23" s="38">
        <f t="shared" si="33"/>
        <v>378</v>
      </c>
      <c r="W23" s="38">
        <f t="shared" si="33"/>
        <v>401</v>
      </c>
      <c r="X23" s="38">
        <f t="shared" si="33"/>
        <v>461</v>
      </c>
      <c r="Y23" s="38">
        <f t="shared" ref="Y23:Z23" si="34">SUM(Y25:Y37)</f>
        <v>440</v>
      </c>
      <c r="Z23" s="38">
        <f t="shared" si="34"/>
        <v>361</v>
      </c>
      <c r="AA23" s="38">
        <f t="shared" ref="AA23:AB23" si="35">SUM(AA25:AA37)</f>
        <v>558</v>
      </c>
      <c r="AB23" s="38">
        <f t="shared" si="35"/>
        <v>559</v>
      </c>
      <c r="AC23" s="38">
        <f t="shared" ref="AC23:AD23" si="36">SUM(AC25:AC37)</f>
        <v>568</v>
      </c>
      <c r="AD23" s="38">
        <f t="shared" si="36"/>
        <v>600</v>
      </c>
      <c r="AE23" s="38">
        <f t="shared" ref="AE23:AF23" si="37">SUM(AE25:AE37)</f>
        <v>559</v>
      </c>
      <c r="AF23" s="38">
        <f t="shared" si="37"/>
        <v>617</v>
      </c>
      <c r="AG23" s="38">
        <f t="shared" ref="AG23:AH23" si="38">SUM(AG25:AG37)</f>
        <v>612</v>
      </c>
      <c r="AH23" s="38">
        <f t="shared" si="38"/>
        <v>824</v>
      </c>
      <c r="AI23" s="60">
        <f t="shared" si="33"/>
        <v>0</v>
      </c>
      <c r="AJ23" s="38">
        <f t="shared" si="33"/>
        <v>0</v>
      </c>
      <c r="AK23" s="38">
        <f t="shared" si="33"/>
        <v>0</v>
      </c>
      <c r="AL23" s="38">
        <f t="shared" si="33"/>
        <v>0</v>
      </c>
      <c r="AM23" s="38">
        <f t="shared" si="33"/>
        <v>0</v>
      </c>
      <c r="AN23" s="38">
        <f t="shared" si="33"/>
        <v>0</v>
      </c>
      <c r="AO23" s="38">
        <f t="shared" si="33"/>
        <v>0</v>
      </c>
      <c r="AP23" s="38">
        <f t="shared" si="33"/>
        <v>0</v>
      </c>
      <c r="AQ23" s="38">
        <f t="shared" si="33"/>
        <v>0</v>
      </c>
      <c r="AR23" s="38">
        <f t="shared" si="33"/>
        <v>0</v>
      </c>
      <c r="AS23" s="38">
        <f t="shared" si="33"/>
        <v>0</v>
      </c>
      <c r="AT23" s="38">
        <f t="shared" si="33"/>
        <v>0</v>
      </c>
      <c r="AU23" s="60">
        <f t="shared" si="33"/>
        <v>0</v>
      </c>
      <c r="AV23" s="38">
        <f t="shared" si="33"/>
        <v>0</v>
      </c>
      <c r="AW23" s="38">
        <f t="shared" si="33"/>
        <v>0</v>
      </c>
      <c r="AX23" s="38">
        <f t="shared" si="33"/>
        <v>0</v>
      </c>
      <c r="AY23" s="38">
        <f t="shared" si="33"/>
        <v>0</v>
      </c>
      <c r="AZ23" s="38">
        <f t="shared" si="33"/>
        <v>0</v>
      </c>
      <c r="BA23" s="38">
        <f t="shared" si="33"/>
        <v>0</v>
      </c>
      <c r="BB23" s="38">
        <f t="shared" si="33"/>
        <v>0</v>
      </c>
      <c r="BC23" s="38">
        <f t="shared" si="33"/>
        <v>0</v>
      </c>
      <c r="BD23" s="38">
        <f t="shared" si="33"/>
        <v>0</v>
      </c>
      <c r="BE23" s="38">
        <f t="shared" si="33"/>
        <v>0</v>
      </c>
      <c r="BF23" s="60">
        <f t="shared" si="33"/>
        <v>0</v>
      </c>
      <c r="BG23" s="38">
        <f t="shared" si="33"/>
        <v>0</v>
      </c>
      <c r="BH23" s="38">
        <f t="shared" si="33"/>
        <v>0</v>
      </c>
      <c r="BI23" s="38">
        <f t="shared" si="33"/>
        <v>0</v>
      </c>
      <c r="BJ23" s="38">
        <f t="shared" si="33"/>
        <v>0</v>
      </c>
      <c r="BK23" s="38">
        <f t="shared" si="33"/>
        <v>0</v>
      </c>
      <c r="BL23" s="38">
        <f t="shared" si="33"/>
        <v>0</v>
      </c>
      <c r="BM23" s="38">
        <f t="shared" si="33"/>
        <v>0</v>
      </c>
      <c r="BN23" s="38">
        <f t="shared" si="33"/>
        <v>0</v>
      </c>
      <c r="BO23" s="38">
        <f t="shared" si="33"/>
        <v>0</v>
      </c>
      <c r="BP23" s="38">
        <f t="shared" si="33"/>
        <v>0</v>
      </c>
      <c r="BQ23" s="38">
        <f t="shared" si="33"/>
        <v>0</v>
      </c>
      <c r="BR23" s="38">
        <f t="shared" si="33"/>
        <v>9</v>
      </c>
      <c r="BS23" s="38">
        <f t="shared" si="33"/>
        <v>0</v>
      </c>
      <c r="BT23" s="38">
        <f t="shared" si="33"/>
        <v>0</v>
      </c>
      <c r="BU23" s="38">
        <f t="shared" si="33"/>
        <v>5</v>
      </c>
      <c r="BV23" s="38">
        <f t="shared" ref="BV23:BW23" si="39">SUM(BV25:BV37)</f>
        <v>0</v>
      </c>
      <c r="BW23" s="38">
        <f t="shared" si="39"/>
        <v>5</v>
      </c>
      <c r="BX23" s="38">
        <f t="shared" ref="BX23:BY23" si="40">SUM(BX25:BX37)</f>
        <v>2</v>
      </c>
      <c r="BY23" s="38">
        <f t="shared" si="40"/>
        <v>3</v>
      </c>
      <c r="BZ23" s="38">
        <f t="shared" ref="BZ23:CA23" si="41">SUM(BZ25:BZ37)</f>
        <v>8</v>
      </c>
      <c r="CA23" s="38">
        <f t="shared" si="41"/>
        <v>0</v>
      </c>
      <c r="CB23" s="38">
        <f t="shared" ref="CB23:CC23" si="42">SUM(CB25:CB37)</f>
        <v>0</v>
      </c>
      <c r="CC23" s="38">
        <f t="shared" si="42"/>
        <v>9</v>
      </c>
      <c r="CD23" s="38">
        <f t="shared" ref="CD23:CE23" si="43">SUM(CD25:CD37)</f>
        <v>0</v>
      </c>
      <c r="CE23" s="38">
        <f t="shared" si="43"/>
        <v>6</v>
      </c>
    </row>
    <row r="24" spans="1:83">
      <c r="A24" s="39" t="s">
        <v>213</v>
      </c>
      <c r="B24" s="61">
        <f t="shared" ref="B24:BU24" si="44">(B23/B4)*100</f>
        <v>0</v>
      </c>
      <c r="C24" s="40">
        <f t="shared" si="44"/>
        <v>0</v>
      </c>
      <c r="D24" s="40">
        <f t="shared" si="44"/>
        <v>0</v>
      </c>
      <c r="E24" s="40">
        <f t="shared" si="44"/>
        <v>0</v>
      </c>
      <c r="F24" s="40">
        <f t="shared" si="44"/>
        <v>0</v>
      </c>
      <c r="G24" s="40">
        <f t="shared" si="44"/>
        <v>11.41732283464567</v>
      </c>
      <c r="H24" s="40">
        <f t="shared" si="44"/>
        <v>0</v>
      </c>
      <c r="I24" s="40">
        <f t="shared" si="44"/>
        <v>0</v>
      </c>
      <c r="J24" s="40">
        <f t="shared" si="44"/>
        <v>12.312811980033278</v>
      </c>
      <c r="K24" s="40">
        <f t="shared" si="44"/>
        <v>11.439393939393939</v>
      </c>
      <c r="L24" s="40">
        <f t="shared" si="44"/>
        <v>10.56547619047619</v>
      </c>
      <c r="M24" s="40">
        <f t="shared" si="44"/>
        <v>10.523038605230386</v>
      </c>
      <c r="N24" s="40">
        <f t="shared" si="44"/>
        <v>10.812539987204095</v>
      </c>
      <c r="O24" s="40">
        <f t="shared" si="44"/>
        <v>11.366181410974244</v>
      </c>
      <c r="P24" s="40">
        <f t="shared" si="44"/>
        <v>11.794354838709678</v>
      </c>
      <c r="Q24" s="40">
        <f t="shared" si="44"/>
        <v>12.435957149510946</v>
      </c>
      <c r="R24" s="40">
        <f t="shared" si="44"/>
        <v>10.419313850063533</v>
      </c>
      <c r="S24" s="40">
        <f t="shared" si="44"/>
        <v>9.9889827396254134</v>
      </c>
      <c r="T24" s="40">
        <f t="shared" si="44"/>
        <v>10.256410256410255</v>
      </c>
      <c r="U24" s="40">
        <f t="shared" si="44"/>
        <v>10.179640718562874</v>
      </c>
      <c r="V24" s="40">
        <f t="shared" si="44"/>
        <v>10.950173812282735</v>
      </c>
      <c r="W24" s="40">
        <f t="shared" si="44"/>
        <v>11.529614721104082</v>
      </c>
      <c r="X24" s="40">
        <f t="shared" si="44"/>
        <v>12.647462277091906</v>
      </c>
      <c r="Y24" s="40">
        <f t="shared" ref="Y24:Z24" si="45">(Y23/Y4)*100</f>
        <v>13.071895424836603</v>
      </c>
      <c r="Z24" s="40">
        <f t="shared" si="45"/>
        <v>10.43956043956044</v>
      </c>
      <c r="AA24" s="40">
        <f t="shared" ref="AA24:AB24" si="46">(AA23/AA4)*100</f>
        <v>15.300246778173843</v>
      </c>
      <c r="AB24" s="40">
        <f t="shared" si="46"/>
        <v>14.823654203129145</v>
      </c>
      <c r="AC24" s="40">
        <f t="shared" ref="AC24:AH24" si="47">(AC23/AC4)*100</f>
        <v>14.310909549004789</v>
      </c>
      <c r="AD24" s="40">
        <f t="shared" si="47"/>
        <v>14.299332697807435</v>
      </c>
      <c r="AE24" s="40">
        <f t="shared" si="47"/>
        <v>13.268454782815095</v>
      </c>
      <c r="AF24" s="40">
        <f t="shared" si="47"/>
        <v>13.433485739168299</v>
      </c>
      <c r="AG24" s="40">
        <f t="shared" si="47"/>
        <v>13.542819207789334</v>
      </c>
      <c r="AH24" s="40">
        <f t="shared" si="47"/>
        <v>16.902564102564103</v>
      </c>
      <c r="AI24" s="61">
        <f t="shared" si="44"/>
        <v>0</v>
      </c>
      <c r="AJ24" s="40">
        <f t="shared" si="44"/>
        <v>0</v>
      </c>
      <c r="AK24" s="40">
        <f t="shared" si="44"/>
        <v>0</v>
      </c>
      <c r="AL24" s="40">
        <f t="shared" si="44"/>
        <v>0</v>
      </c>
      <c r="AM24" s="40">
        <f t="shared" si="44"/>
        <v>0</v>
      </c>
      <c r="AN24" s="40">
        <f t="shared" si="44"/>
        <v>0</v>
      </c>
      <c r="AO24" s="40">
        <f t="shared" si="44"/>
        <v>0</v>
      </c>
      <c r="AP24" s="40">
        <f t="shared" si="44"/>
        <v>0</v>
      </c>
      <c r="AQ24" s="40">
        <f t="shared" si="44"/>
        <v>0</v>
      </c>
      <c r="AR24" s="40">
        <f t="shared" si="44"/>
        <v>0</v>
      </c>
      <c r="AS24" s="40">
        <f t="shared" si="44"/>
        <v>0</v>
      </c>
      <c r="AT24" s="40">
        <f t="shared" si="44"/>
        <v>0</v>
      </c>
      <c r="AU24" s="61">
        <f t="shared" si="44"/>
        <v>0</v>
      </c>
      <c r="AV24" s="40">
        <f t="shared" si="44"/>
        <v>0</v>
      </c>
      <c r="AW24" s="40">
        <f t="shared" si="44"/>
        <v>0</v>
      </c>
      <c r="AX24" s="40">
        <f t="shared" si="44"/>
        <v>0</v>
      </c>
      <c r="AY24" s="40">
        <f t="shared" si="44"/>
        <v>0</v>
      </c>
      <c r="AZ24" s="40">
        <f t="shared" si="44"/>
        <v>0</v>
      </c>
      <c r="BA24" s="40">
        <f t="shared" si="44"/>
        <v>0</v>
      </c>
      <c r="BB24" s="40">
        <f t="shared" si="44"/>
        <v>0</v>
      </c>
      <c r="BC24" s="40">
        <f t="shared" si="44"/>
        <v>0</v>
      </c>
      <c r="BD24" s="40">
        <f t="shared" si="44"/>
        <v>0</v>
      </c>
      <c r="BE24" s="40">
        <f t="shared" si="44"/>
        <v>0</v>
      </c>
      <c r="BF24" s="61">
        <f t="shared" si="44"/>
        <v>0</v>
      </c>
      <c r="BG24" s="40">
        <f t="shared" si="44"/>
        <v>0</v>
      </c>
      <c r="BH24" s="40">
        <f t="shared" si="44"/>
        <v>0</v>
      </c>
      <c r="BI24" s="40">
        <f t="shared" si="44"/>
        <v>0</v>
      </c>
      <c r="BJ24" s="40">
        <f t="shared" si="44"/>
        <v>0</v>
      </c>
      <c r="BK24" s="40">
        <f t="shared" si="44"/>
        <v>0</v>
      </c>
      <c r="BL24" s="40">
        <f t="shared" si="44"/>
        <v>0</v>
      </c>
      <c r="BM24" s="40">
        <f t="shared" si="44"/>
        <v>0</v>
      </c>
      <c r="BN24" s="40">
        <f t="shared" si="44"/>
        <v>0</v>
      </c>
      <c r="BO24" s="40">
        <f t="shared" si="44"/>
        <v>0</v>
      </c>
      <c r="BP24" s="40">
        <f t="shared" si="44"/>
        <v>0</v>
      </c>
      <c r="BQ24" s="40">
        <f t="shared" si="44"/>
        <v>0</v>
      </c>
      <c r="BR24" s="40">
        <f t="shared" si="44"/>
        <v>2.5495750708215295</v>
      </c>
      <c r="BS24" s="40">
        <f t="shared" si="44"/>
        <v>0</v>
      </c>
      <c r="BT24" s="40">
        <f t="shared" si="44"/>
        <v>0</v>
      </c>
      <c r="BU24" s="40">
        <f t="shared" si="44"/>
        <v>1.0638297872340425</v>
      </c>
      <c r="BV24" s="40">
        <f t="shared" ref="BV24:BW24" si="48">(BV23/BV4)*100</f>
        <v>0</v>
      </c>
      <c r="BW24" s="40">
        <f t="shared" si="48"/>
        <v>1.5479876160990713</v>
      </c>
      <c r="BX24" s="40">
        <f t="shared" ref="BX24:BY24" si="49">(BX23/BX4)*100</f>
        <v>0.55096418732782371</v>
      </c>
      <c r="BY24" s="40">
        <f t="shared" si="49"/>
        <v>0.57803468208092479</v>
      </c>
      <c r="BZ24" s="40">
        <f t="shared" ref="BZ24:CE24" si="50">(BZ23/BZ4)*100</f>
        <v>1.199400299850075</v>
      </c>
      <c r="CA24" s="40">
        <f t="shared" si="50"/>
        <v>0</v>
      </c>
      <c r="CB24" s="40">
        <f t="shared" si="50"/>
        <v>0</v>
      </c>
      <c r="CC24" s="40">
        <f t="shared" si="50"/>
        <v>1.4218009478672986</v>
      </c>
      <c r="CD24" s="40">
        <f t="shared" si="50"/>
        <v>0</v>
      </c>
      <c r="CE24" s="40">
        <f t="shared" si="50"/>
        <v>1.2219959266802443</v>
      </c>
    </row>
    <row r="25" spans="1:83">
      <c r="A25" s="37" t="s">
        <v>125</v>
      </c>
      <c r="B25" s="62"/>
      <c r="C25" s="41"/>
      <c r="D25" s="41"/>
      <c r="E25" s="41"/>
      <c r="F25" s="41"/>
      <c r="G25" s="41">
        <v>0</v>
      </c>
      <c r="H25" s="41"/>
      <c r="I25" s="41"/>
      <c r="J25" s="41">
        <v>0</v>
      </c>
      <c r="K25" s="41">
        <v>0</v>
      </c>
      <c r="L25" s="41">
        <v>0</v>
      </c>
      <c r="M25" s="41">
        <v>0</v>
      </c>
      <c r="N25" s="41">
        <v>0</v>
      </c>
      <c r="O25" s="41">
        <v>0</v>
      </c>
      <c r="P25" s="41">
        <v>0</v>
      </c>
      <c r="Q25" s="41">
        <v>0</v>
      </c>
      <c r="R25" s="41">
        <v>1</v>
      </c>
      <c r="S25" s="41">
        <v>0</v>
      </c>
      <c r="T25" s="41">
        <v>1</v>
      </c>
      <c r="U25" s="41">
        <v>1</v>
      </c>
      <c r="V25" s="41">
        <v>0</v>
      </c>
      <c r="W25" s="41">
        <v>0</v>
      </c>
      <c r="X25" s="41">
        <v>1</v>
      </c>
      <c r="Y25" s="41">
        <v>0</v>
      </c>
      <c r="Z25" s="41">
        <v>0</v>
      </c>
      <c r="AA25" s="41">
        <v>1</v>
      </c>
      <c r="AB25" s="41">
        <v>0</v>
      </c>
      <c r="AC25" s="41">
        <v>0</v>
      </c>
      <c r="AD25" s="41">
        <v>1</v>
      </c>
      <c r="AE25" s="1">
        <v>0</v>
      </c>
      <c r="AF25" s="1">
        <v>0</v>
      </c>
      <c r="AG25" s="1">
        <v>1</v>
      </c>
      <c r="AH25" s="1">
        <v>0</v>
      </c>
      <c r="AI25" s="62"/>
      <c r="AJ25" s="41"/>
      <c r="AK25" s="41"/>
      <c r="AL25" s="41"/>
      <c r="AM25" s="41"/>
      <c r="AN25" s="41"/>
      <c r="AO25" s="41"/>
      <c r="AP25" s="41"/>
      <c r="AQ25" s="41"/>
      <c r="AR25" s="41">
        <v>0</v>
      </c>
      <c r="AS25" s="41"/>
      <c r="AT25" s="41"/>
      <c r="AU25" s="62"/>
      <c r="AV25" s="41"/>
      <c r="AW25" s="41"/>
      <c r="AX25" s="41"/>
      <c r="AY25" s="41"/>
      <c r="AZ25" s="41"/>
      <c r="BA25" s="41"/>
      <c r="BB25" s="41"/>
      <c r="BC25" s="41">
        <v>0</v>
      </c>
      <c r="BD25" s="41"/>
      <c r="BE25" s="41"/>
      <c r="BF25" s="62">
        <f t="shared" ref="BF25:BF37" si="51">IF(AJ25&gt;AU25,(AJ25),(AU25))</f>
        <v>0</v>
      </c>
      <c r="BG25" s="41">
        <f t="shared" ref="BG25:BG37" si="52">IF(AM25&gt;AX25,(AM25),(AX25))</f>
        <v>0</v>
      </c>
      <c r="BH25" s="41">
        <f t="shared" ref="BH25:BH37" si="53">IF(AN25&gt;AY25,(AN25),(AY25))</f>
        <v>0</v>
      </c>
      <c r="BI25" s="41">
        <f t="shared" ref="BI25:BI37" si="54">IF(AO25&gt;AZ25,(AO25),(AZ25))</f>
        <v>0</v>
      </c>
      <c r="BJ25" s="41">
        <f t="shared" ref="BJ25:BJ37" si="55">IF(AP25&gt;BA25,(AP25),(BA25))</f>
        <v>0</v>
      </c>
      <c r="BK25" s="41">
        <f t="shared" ref="BK25:BK37" si="56">IF(AQ25&gt;BB25,(AQ25),(BB25))</f>
        <v>0</v>
      </c>
      <c r="BL25" s="41">
        <f t="shared" ref="BL25:BL37" si="57">IF(AR25&gt;BC25,(AR25),(BC25))</f>
        <v>0</v>
      </c>
      <c r="BM25" s="41">
        <f t="shared" ref="BM25:BM37" si="58">IF(AS25&gt;BD25,(AS25),(BD25))</f>
        <v>0</v>
      </c>
      <c r="BN25" s="41">
        <f t="shared" ref="BN25:BN37" si="59">IF(AT25&gt;BE25,(AT25),(BE25))</f>
        <v>0</v>
      </c>
      <c r="BO25" s="41"/>
      <c r="BP25" s="41"/>
      <c r="BQ25" s="41"/>
      <c r="BR25" s="41"/>
      <c r="BS25" s="41"/>
      <c r="BT25" s="41"/>
      <c r="BU25" s="41"/>
      <c r="BV25" s="41"/>
      <c r="BX25" s="1">
        <v>0</v>
      </c>
      <c r="BY25" s="1">
        <v>0</v>
      </c>
      <c r="BZ25" s="1">
        <v>0</v>
      </c>
      <c r="CA25" s="1">
        <v>0</v>
      </c>
      <c r="CB25" s="1">
        <v>0</v>
      </c>
      <c r="CC25" s="1">
        <v>0</v>
      </c>
      <c r="CD25" s="1">
        <v>0</v>
      </c>
      <c r="CE25" s="1">
        <v>0</v>
      </c>
    </row>
    <row r="26" spans="1:83">
      <c r="A26" s="37" t="s">
        <v>126</v>
      </c>
      <c r="B26" s="62"/>
      <c r="C26" s="41"/>
      <c r="D26" s="41"/>
      <c r="E26" s="41"/>
      <c r="F26" s="41"/>
      <c r="G26" s="41">
        <v>5</v>
      </c>
      <c r="H26" s="41"/>
      <c r="I26" s="41"/>
      <c r="J26" s="41">
        <v>6</v>
      </c>
      <c r="K26" s="41">
        <v>12</v>
      </c>
      <c r="L26" s="41">
        <v>4</v>
      </c>
      <c r="M26" s="41">
        <v>20</v>
      </c>
      <c r="N26" s="41">
        <v>11</v>
      </c>
      <c r="O26" s="41">
        <v>19</v>
      </c>
      <c r="P26" s="41">
        <v>18</v>
      </c>
      <c r="Q26" s="41">
        <v>10</v>
      </c>
      <c r="R26" s="41">
        <v>12</v>
      </c>
      <c r="S26" s="41">
        <v>20</v>
      </c>
      <c r="T26" s="41">
        <v>25</v>
      </c>
      <c r="U26" s="41">
        <v>23</v>
      </c>
      <c r="V26" s="41">
        <v>42</v>
      </c>
      <c r="W26" s="41">
        <v>88</v>
      </c>
      <c r="X26" s="41">
        <v>129</v>
      </c>
      <c r="Y26" s="41">
        <v>131</v>
      </c>
      <c r="Z26" s="41">
        <v>26</v>
      </c>
      <c r="AA26" s="41">
        <v>190</v>
      </c>
      <c r="AB26" s="41">
        <v>165</v>
      </c>
      <c r="AC26" s="41">
        <v>164</v>
      </c>
      <c r="AD26" s="41">
        <v>178</v>
      </c>
      <c r="AE26" s="1">
        <v>162</v>
      </c>
      <c r="AF26" s="1">
        <v>174</v>
      </c>
      <c r="AG26" s="1">
        <v>197</v>
      </c>
      <c r="AH26" s="1">
        <v>281</v>
      </c>
      <c r="AI26" s="62"/>
      <c r="AJ26" s="41"/>
      <c r="AK26" s="41"/>
      <c r="AL26" s="41"/>
      <c r="AM26" s="41"/>
      <c r="AN26" s="41"/>
      <c r="AO26" s="41"/>
      <c r="AP26" s="41"/>
      <c r="AQ26" s="41"/>
      <c r="AR26" s="41">
        <v>0</v>
      </c>
      <c r="AS26" s="41"/>
      <c r="AT26" s="41"/>
      <c r="AU26" s="62"/>
      <c r="AV26" s="41"/>
      <c r="AW26" s="41"/>
      <c r="AX26" s="41"/>
      <c r="AY26" s="41"/>
      <c r="AZ26" s="41"/>
      <c r="BA26" s="41"/>
      <c r="BB26" s="41"/>
      <c r="BC26" s="41">
        <v>0</v>
      </c>
      <c r="BD26" s="41"/>
      <c r="BE26" s="41"/>
      <c r="BF26" s="62">
        <f t="shared" si="51"/>
        <v>0</v>
      </c>
      <c r="BG26" s="41">
        <f t="shared" si="52"/>
        <v>0</v>
      </c>
      <c r="BH26" s="41">
        <f t="shared" si="53"/>
        <v>0</v>
      </c>
      <c r="BI26" s="41">
        <f t="shared" si="54"/>
        <v>0</v>
      </c>
      <c r="BJ26" s="41">
        <f t="shared" si="55"/>
        <v>0</v>
      </c>
      <c r="BK26" s="41">
        <f t="shared" si="56"/>
        <v>0</v>
      </c>
      <c r="BL26" s="41">
        <f t="shared" si="57"/>
        <v>0</v>
      </c>
      <c r="BM26" s="41">
        <f t="shared" si="58"/>
        <v>0</v>
      </c>
      <c r="BN26" s="41">
        <f t="shared" si="59"/>
        <v>0</v>
      </c>
      <c r="BO26" s="41"/>
      <c r="BP26" s="41"/>
      <c r="BQ26" s="41"/>
      <c r="BR26" s="41"/>
      <c r="BS26" s="41"/>
      <c r="BT26" s="41"/>
      <c r="BU26" s="41"/>
      <c r="BV26" s="41"/>
      <c r="BX26" s="1">
        <v>0</v>
      </c>
      <c r="BY26" s="1">
        <v>0</v>
      </c>
      <c r="BZ26" s="1">
        <v>0</v>
      </c>
      <c r="CA26" s="1">
        <v>0</v>
      </c>
      <c r="CB26" s="1">
        <v>0</v>
      </c>
      <c r="CC26" s="1">
        <v>0</v>
      </c>
      <c r="CD26" s="1">
        <v>0</v>
      </c>
      <c r="CE26" s="1">
        <v>0</v>
      </c>
    </row>
    <row r="27" spans="1:83">
      <c r="A27" s="37" t="s">
        <v>127</v>
      </c>
      <c r="B27" s="62"/>
      <c r="C27" s="41"/>
      <c r="D27" s="41"/>
      <c r="E27" s="41"/>
      <c r="F27" s="41"/>
      <c r="G27" s="41">
        <v>81</v>
      </c>
      <c r="H27" s="41"/>
      <c r="I27" s="41"/>
      <c r="J27" s="41">
        <v>99</v>
      </c>
      <c r="K27" s="41">
        <v>109</v>
      </c>
      <c r="L27" s="41">
        <v>106</v>
      </c>
      <c r="M27" s="41">
        <v>129</v>
      </c>
      <c r="N27" s="41">
        <v>135</v>
      </c>
      <c r="O27" s="41">
        <v>141</v>
      </c>
      <c r="P27" s="41">
        <v>165</v>
      </c>
      <c r="Q27" s="41">
        <v>207</v>
      </c>
      <c r="R27" s="41">
        <v>185</v>
      </c>
      <c r="S27" s="41">
        <v>204</v>
      </c>
      <c r="T27" s="41">
        <v>220</v>
      </c>
      <c r="U27" s="41">
        <v>219</v>
      </c>
      <c r="V27" s="41">
        <v>268</v>
      </c>
      <c r="W27" s="41">
        <v>257</v>
      </c>
      <c r="X27" s="41">
        <v>249</v>
      </c>
      <c r="Y27" s="41">
        <v>247</v>
      </c>
      <c r="Z27" s="41">
        <v>253</v>
      </c>
      <c r="AA27" s="41">
        <v>256</v>
      </c>
      <c r="AB27" s="41">
        <v>303</v>
      </c>
      <c r="AC27" s="41">
        <v>306</v>
      </c>
      <c r="AD27" s="41">
        <v>326</v>
      </c>
      <c r="AE27" s="1">
        <v>299</v>
      </c>
      <c r="AF27" s="1">
        <v>345</v>
      </c>
      <c r="AG27" s="1">
        <v>308</v>
      </c>
      <c r="AH27" s="1">
        <v>408</v>
      </c>
      <c r="AI27" s="62"/>
      <c r="AJ27" s="41"/>
      <c r="AK27" s="41"/>
      <c r="AL27" s="41"/>
      <c r="AM27" s="41">
        <v>0</v>
      </c>
      <c r="AN27" s="41">
        <v>0</v>
      </c>
      <c r="AO27" s="41"/>
      <c r="AP27" s="41"/>
      <c r="AQ27" s="41"/>
      <c r="AR27" s="41">
        <v>0</v>
      </c>
      <c r="AS27" s="41"/>
      <c r="AT27" s="41"/>
      <c r="AU27" s="62"/>
      <c r="AV27" s="41"/>
      <c r="AW27" s="41"/>
      <c r="AX27" s="41"/>
      <c r="AY27" s="41"/>
      <c r="AZ27" s="41"/>
      <c r="BA27" s="41"/>
      <c r="BB27" s="41"/>
      <c r="BC27" s="41">
        <v>0</v>
      </c>
      <c r="BD27" s="41"/>
      <c r="BE27" s="41"/>
      <c r="BF27" s="62">
        <f t="shared" si="51"/>
        <v>0</v>
      </c>
      <c r="BG27" s="41">
        <f t="shared" si="52"/>
        <v>0</v>
      </c>
      <c r="BH27" s="41">
        <f t="shared" si="53"/>
        <v>0</v>
      </c>
      <c r="BI27" s="41">
        <f t="shared" si="54"/>
        <v>0</v>
      </c>
      <c r="BJ27" s="41">
        <f t="shared" si="55"/>
        <v>0</v>
      </c>
      <c r="BK27" s="41">
        <f t="shared" si="56"/>
        <v>0</v>
      </c>
      <c r="BL27" s="41">
        <f t="shared" si="57"/>
        <v>0</v>
      </c>
      <c r="BM27" s="41">
        <f t="shared" si="58"/>
        <v>0</v>
      </c>
      <c r="BN27" s="41">
        <f t="shared" si="59"/>
        <v>0</v>
      </c>
      <c r="BO27" s="41"/>
      <c r="BP27" s="41"/>
      <c r="BQ27" s="41"/>
      <c r="BR27" s="41"/>
      <c r="BS27" s="41"/>
      <c r="BT27" s="41"/>
      <c r="BU27" s="41"/>
      <c r="BV27" s="41"/>
      <c r="BX27" s="1">
        <v>0</v>
      </c>
      <c r="BY27" s="1">
        <v>0</v>
      </c>
      <c r="BZ27" s="1">
        <v>8</v>
      </c>
      <c r="CA27" s="1">
        <v>0</v>
      </c>
      <c r="CB27" s="1">
        <v>0</v>
      </c>
      <c r="CC27" s="1">
        <v>9</v>
      </c>
      <c r="CD27" s="1">
        <v>0</v>
      </c>
      <c r="CE27" s="1">
        <v>0</v>
      </c>
    </row>
    <row r="28" spans="1:83">
      <c r="A28" s="37" t="s">
        <v>128</v>
      </c>
      <c r="B28" s="62"/>
      <c r="C28" s="41"/>
      <c r="D28" s="41"/>
      <c r="E28" s="41"/>
      <c r="F28" s="41"/>
      <c r="G28" s="41">
        <v>7</v>
      </c>
      <c r="H28" s="41"/>
      <c r="I28" s="41"/>
      <c r="J28" s="41">
        <v>13</v>
      </c>
      <c r="K28" s="41">
        <v>11</v>
      </c>
      <c r="L28" s="41">
        <v>8</v>
      </c>
      <c r="M28" s="41">
        <v>6</v>
      </c>
      <c r="N28" s="41">
        <v>13</v>
      </c>
      <c r="O28" s="41">
        <v>14</v>
      </c>
      <c r="P28" s="41">
        <v>14</v>
      </c>
      <c r="Q28" s="41">
        <v>16</v>
      </c>
      <c r="R28" s="41">
        <v>11</v>
      </c>
      <c r="S28" s="41">
        <v>11</v>
      </c>
      <c r="T28" s="41">
        <v>13</v>
      </c>
      <c r="U28" s="41">
        <v>14</v>
      </c>
      <c r="V28" s="41">
        <v>13</v>
      </c>
      <c r="W28" s="41">
        <v>19</v>
      </c>
      <c r="X28" s="41">
        <v>22</v>
      </c>
      <c r="Y28" s="41">
        <v>19</v>
      </c>
      <c r="Z28" s="41">
        <v>19</v>
      </c>
      <c r="AA28" s="41">
        <v>17</v>
      </c>
      <c r="AB28" s="41">
        <v>21</v>
      </c>
      <c r="AC28" s="41">
        <v>28</v>
      </c>
      <c r="AD28" s="41">
        <v>37</v>
      </c>
      <c r="AE28" s="1">
        <v>33</v>
      </c>
      <c r="AF28" s="1">
        <v>34</v>
      </c>
      <c r="AG28" s="1">
        <v>29</v>
      </c>
      <c r="AH28" s="1">
        <v>20</v>
      </c>
      <c r="AI28" s="62"/>
      <c r="AJ28" s="41"/>
      <c r="AK28" s="41"/>
      <c r="AL28" s="41"/>
      <c r="AM28" s="41"/>
      <c r="AN28" s="41"/>
      <c r="AO28" s="41"/>
      <c r="AP28" s="41"/>
      <c r="AQ28" s="41"/>
      <c r="AR28" s="41">
        <v>0</v>
      </c>
      <c r="AS28" s="41"/>
      <c r="AT28" s="41"/>
      <c r="AU28" s="62"/>
      <c r="AV28" s="41"/>
      <c r="AW28" s="41"/>
      <c r="AX28" s="41"/>
      <c r="AY28" s="41"/>
      <c r="AZ28" s="41"/>
      <c r="BA28" s="41"/>
      <c r="BB28" s="41"/>
      <c r="BC28" s="41">
        <v>0</v>
      </c>
      <c r="BD28" s="41"/>
      <c r="BE28" s="41"/>
      <c r="BF28" s="62">
        <f t="shared" si="51"/>
        <v>0</v>
      </c>
      <c r="BG28" s="41">
        <f t="shared" si="52"/>
        <v>0</v>
      </c>
      <c r="BH28" s="41">
        <f t="shared" si="53"/>
        <v>0</v>
      </c>
      <c r="BI28" s="41">
        <f t="shared" si="54"/>
        <v>0</v>
      </c>
      <c r="BJ28" s="41">
        <f t="shared" si="55"/>
        <v>0</v>
      </c>
      <c r="BK28" s="41">
        <f t="shared" si="56"/>
        <v>0</v>
      </c>
      <c r="BL28" s="41">
        <f t="shared" si="57"/>
        <v>0</v>
      </c>
      <c r="BM28" s="41">
        <f t="shared" si="58"/>
        <v>0</v>
      </c>
      <c r="BN28" s="41">
        <f t="shared" si="59"/>
        <v>0</v>
      </c>
      <c r="BO28" s="41"/>
      <c r="BP28" s="41"/>
      <c r="BQ28" s="41"/>
      <c r="BR28" s="41"/>
      <c r="BS28" s="41"/>
      <c r="BT28" s="41"/>
      <c r="BU28" s="41"/>
      <c r="BV28" s="41"/>
      <c r="BX28" s="1">
        <v>0</v>
      </c>
      <c r="BY28" s="1">
        <v>0</v>
      </c>
      <c r="BZ28" s="1">
        <v>0</v>
      </c>
      <c r="CA28" s="1">
        <v>0</v>
      </c>
      <c r="CB28" s="1">
        <v>0</v>
      </c>
      <c r="CC28" s="1">
        <v>0</v>
      </c>
      <c r="CD28" s="1">
        <v>0</v>
      </c>
      <c r="CE28" s="1">
        <v>6</v>
      </c>
    </row>
    <row r="29" spans="1:83">
      <c r="A29" s="37" t="s">
        <v>131</v>
      </c>
      <c r="B29" s="62"/>
      <c r="C29" s="41"/>
      <c r="D29" s="41"/>
      <c r="E29" s="41"/>
      <c r="F29" s="41"/>
      <c r="G29" s="41">
        <v>0</v>
      </c>
      <c r="H29" s="41"/>
      <c r="I29" s="41"/>
      <c r="J29" s="41">
        <v>0</v>
      </c>
      <c r="K29" s="41">
        <v>1</v>
      </c>
      <c r="L29" s="41">
        <v>2</v>
      </c>
      <c r="M29" s="41">
        <v>1</v>
      </c>
      <c r="N29" s="41">
        <v>1</v>
      </c>
      <c r="O29" s="41">
        <v>1</v>
      </c>
      <c r="P29" s="41">
        <v>0</v>
      </c>
      <c r="Q29" s="41">
        <v>3</v>
      </c>
      <c r="R29" s="41">
        <v>4</v>
      </c>
      <c r="S29" s="41">
        <v>0</v>
      </c>
      <c r="T29" s="41">
        <v>4</v>
      </c>
      <c r="U29" s="41"/>
      <c r="V29" s="41">
        <v>1</v>
      </c>
      <c r="W29" s="41">
        <v>4</v>
      </c>
      <c r="X29" s="41">
        <v>3</v>
      </c>
      <c r="Y29" s="41">
        <v>2</v>
      </c>
      <c r="Z29" s="41">
        <v>3</v>
      </c>
      <c r="AA29" s="41">
        <v>1</v>
      </c>
      <c r="AB29" s="41">
        <v>3</v>
      </c>
      <c r="AC29" s="41">
        <v>3</v>
      </c>
      <c r="AD29" s="41">
        <v>1</v>
      </c>
      <c r="AE29" s="1">
        <v>8</v>
      </c>
      <c r="AF29" s="1">
        <v>1</v>
      </c>
      <c r="AG29" s="1">
        <v>0</v>
      </c>
      <c r="AH29" s="1">
        <v>2</v>
      </c>
      <c r="AI29" s="62"/>
      <c r="AJ29" s="41"/>
      <c r="AK29" s="41"/>
      <c r="AL29" s="41"/>
      <c r="AM29" s="41"/>
      <c r="AN29" s="41"/>
      <c r="AO29" s="41"/>
      <c r="AP29" s="41"/>
      <c r="AQ29" s="41"/>
      <c r="AR29" s="41">
        <v>0</v>
      </c>
      <c r="AS29" s="41"/>
      <c r="AT29" s="41"/>
      <c r="AU29" s="62"/>
      <c r="AV29" s="41"/>
      <c r="AW29" s="41"/>
      <c r="AX29" s="41"/>
      <c r="AY29" s="41"/>
      <c r="AZ29" s="41"/>
      <c r="BA29" s="41"/>
      <c r="BB29" s="41"/>
      <c r="BC29" s="41">
        <v>0</v>
      </c>
      <c r="BD29" s="41"/>
      <c r="BE29" s="41"/>
      <c r="BF29" s="62">
        <f t="shared" si="51"/>
        <v>0</v>
      </c>
      <c r="BG29" s="41">
        <f t="shared" si="52"/>
        <v>0</v>
      </c>
      <c r="BH29" s="41">
        <f t="shared" si="53"/>
        <v>0</v>
      </c>
      <c r="BI29" s="41">
        <f t="shared" si="54"/>
        <v>0</v>
      </c>
      <c r="BJ29" s="41">
        <f t="shared" si="55"/>
        <v>0</v>
      </c>
      <c r="BK29" s="41">
        <f t="shared" si="56"/>
        <v>0</v>
      </c>
      <c r="BL29" s="41">
        <f t="shared" si="57"/>
        <v>0</v>
      </c>
      <c r="BM29" s="41">
        <f t="shared" si="58"/>
        <v>0</v>
      </c>
      <c r="BN29" s="41">
        <f t="shared" si="59"/>
        <v>0</v>
      </c>
      <c r="BO29" s="41"/>
      <c r="BP29" s="41"/>
      <c r="BQ29" s="41"/>
      <c r="BR29" s="41"/>
      <c r="BS29" s="41"/>
      <c r="BT29" s="41"/>
      <c r="BU29" s="41"/>
      <c r="BV29" s="41"/>
      <c r="BX29" s="1">
        <v>0</v>
      </c>
      <c r="BY29" s="1">
        <v>0</v>
      </c>
      <c r="BZ29" s="1">
        <v>0</v>
      </c>
      <c r="CA29" s="1">
        <v>0</v>
      </c>
      <c r="CB29" s="1">
        <v>0</v>
      </c>
      <c r="CC29" s="1">
        <v>0</v>
      </c>
      <c r="CD29" s="1">
        <v>0</v>
      </c>
      <c r="CE29" s="1">
        <v>0</v>
      </c>
    </row>
    <row r="30" spans="1:83">
      <c r="A30" s="37" t="s">
        <v>133</v>
      </c>
      <c r="B30" s="62"/>
      <c r="C30" s="41"/>
      <c r="D30" s="41"/>
      <c r="E30" s="41"/>
      <c r="F30" s="41"/>
      <c r="G30" s="41">
        <v>1</v>
      </c>
      <c r="H30" s="41"/>
      <c r="I30" s="41"/>
      <c r="J30" s="41">
        <v>0</v>
      </c>
      <c r="K30" s="41">
        <v>0</v>
      </c>
      <c r="L30" s="41">
        <v>0</v>
      </c>
      <c r="M30" s="41">
        <v>0</v>
      </c>
      <c r="N30" s="41">
        <v>0</v>
      </c>
      <c r="O30" s="41">
        <v>1</v>
      </c>
      <c r="P30" s="41">
        <v>0</v>
      </c>
      <c r="Q30" s="41">
        <v>2</v>
      </c>
      <c r="R30" s="41">
        <v>1</v>
      </c>
      <c r="S30" s="41">
        <v>2</v>
      </c>
      <c r="T30" s="41">
        <v>2</v>
      </c>
      <c r="U30" s="41">
        <v>2</v>
      </c>
      <c r="V30" s="41">
        <v>0</v>
      </c>
      <c r="W30" s="41">
        <v>2</v>
      </c>
      <c r="X30" s="41">
        <v>1</v>
      </c>
      <c r="Y30" s="41">
        <v>3</v>
      </c>
      <c r="Z30" s="41">
        <v>4</v>
      </c>
      <c r="AA30" s="41">
        <v>2</v>
      </c>
      <c r="AB30" s="41">
        <v>3</v>
      </c>
      <c r="AC30" s="41">
        <v>2</v>
      </c>
      <c r="AD30" s="41">
        <v>2</v>
      </c>
      <c r="AE30" s="1">
        <v>2</v>
      </c>
      <c r="AF30" s="1">
        <v>0</v>
      </c>
      <c r="AG30" s="1">
        <v>2</v>
      </c>
      <c r="AH30" s="1">
        <v>2</v>
      </c>
      <c r="AI30" s="62"/>
      <c r="AJ30" s="41"/>
      <c r="AK30" s="41"/>
      <c r="AL30" s="41"/>
      <c r="AM30" s="41"/>
      <c r="AN30" s="41"/>
      <c r="AO30" s="41"/>
      <c r="AP30" s="41"/>
      <c r="AQ30" s="41"/>
      <c r="AR30" s="41">
        <v>0</v>
      </c>
      <c r="AS30" s="41"/>
      <c r="AT30" s="41"/>
      <c r="AU30" s="62"/>
      <c r="AV30" s="41"/>
      <c r="AW30" s="41"/>
      <c r="AX30" s="41"/>
      <c r="AY30" s="41"/>
      <c r="AZ30" s="41"/>
      <c r="BA30" s="41"/>
      <c r="BB30" s="41"/>
      <c r="BC30" s="41">
        <v>0</v>
      </c>
      <c r="BD30" s="41"/>
      <c r="BE30" s="41"/>
      <c r="BF30" s="62">
        <f t="shared" si="51"/>
        <v>0</v>
      </c>
      <c r="BG30" s="41">
        <f t="shared" si="52"/>
        <v>0</v>
      </c>
      <c r="BH30" s="41">
        <f t="shared" si="53"/>
        <v>0</v>
      </c>
      <c r="BI30" s="41">
        <f t="shared" si="54"/>
        <v>0</v>
      </c>
      <c r="BJ30" s="41">
        <f t="shared" si="55"/>
        <v>0</v>
      </c>
      <c r="BK30" s="41">
        <f t="shared" si="56"/>
        <v>0</v>
      </c>
      <c r="BL30" s="41">
        <f t="shared" si="57"/>
        <v>0</v>
      </c>
      <c r="BM30" s="41">
        <f t="shared" si="58"/>
        <v>0</v>
      </c>
      <c r="BN30" s="41">
        <f t="shared" si="59"/>
        <v>0</v>
      </c>
      <c r="BO30" s="41"/>
      <c r="BP30" s="41"/>
      <c r="BQ30" s="41"/>
      <c r="BR30" s="41"/>
      <c r="BS30" s="41"/>
      <c r="BT30" s="41"/>
      <c r="BU30" s="41"/>
      <c r="BV30" s="41"/>
      <c r="BX30" s="1">
        <v>0</v>
      </c>
      <c r="BY30" s="1">
        <v>0</v>
      </c>
      <c r="BZ30" s="1">
        <v>0</v>
      </c>
      <c r="CA30" s="1">
        <v>0</v>
      </c>
      <c r="CB30" s="1">
        <v>0</v>
      </c>
      <c r="CC30" s="1">
        <v>0</v>
      </c>
      <c r="CD30" s="1">
        <v>0</v>
      </c>
      <c r="CE30" s="1">
        <v>0</v>
      </c>
    </row>
    <row r="31" spans="1:83">
      <c r="A31" s="37" t="s">
        <v>142</v>
      </c>
      <c r="B31" s="62"/>
      <c r="C31" s="41"/>
      <c r="D31" s="41"/>
      <c r="E31" s="41"/>
      <c r="F31" s="41"/>
      <c r="G31" s="41">
        <v>0</v>
      </c>
      <c r="H31" s="41"/>
      <c r="I31" s="41"/>
      <c r="J31" s="41">
        <v>0</v>
      </c>
      <c r="K31" s="41">
        <v>0</v>
      </c>
      <c r="L31" s="41">
        <v>0</v>
      </c>
      <c r="M31" s="41">
        <v>0</v>
      </c>
      <c r="N31" s="41">
        <v>0</v>
      </c>
      <c r="O31" s="41">
        <v>0</v>
      </c>
      <c r="P31" s="41">
        <v>0</v>
      </c>
      <c r="Q31" s="41">
        <v>0</v>
      </c>
      <c r="R31" s="41">
        <v>0</v>
      </c>
      <c r="S31" s="41">
        <v>0</v>
      </c>
      <c r="T31" s="41">
        <v>1</v>
      </c>
      <c r="U31" s="41"/>
      <c r="V31" s="41">
        <v>2</v>
      </c>
      <c r="W31" s="41">
        <v>1</v>
      </c>
      <c r="X31" s="41">
        <v>2</v>
      </c>
      <c r="Y31" s="41">
        <v>0</v>
      </c>
      <c r="Z31" s="41">
        <v>1</v>
      </c>
      <c r="AA31" s="41">
        <v>0</v>
      </c>
      <c r="AB31" s="41">
        <v>1</v>
      </c>
      <c r="AC31" s="41">
        <v>0</v>
      </c>
      <c r="AD31" s="41">
        <v>0</v>
      </c>
      <c r="AE31" s="1">
        <v>0</v>
      </c>
      <c r="AF31" s="1">
        <v>0</v>
      </c>
      <c r="AG31" s="1">
        <v>1</v>
      </c>
      <c r="AH31" s="1">
        <v>1</v>
      </c>
      <c r="AI31" s="62"/>
      <c r="AJ31" s="41"/>
      <c r="AK31" s="41"/>
      <c r="AL31" s="41"/>
      <c r="AM31" s="41"/>
      <c r="AN31" s="41"/>
      <c r="AO31" s="41"/>
      <c r="AP31" s="41"/>
      <c r="AQ31" s="41"/>
      <c r="AR31" s="41">
        <v>0</v>
      </c>
      <c r="AS31" s="41"/>
      <c r="AT31" s="41"/>
      <c r="AU31" s="62"/>
      <c r="AV31" s="41"/>
      <c r="AW31" s="41"/>
      <c r="AX31" s="41"/>
      <c r="AY31" s="41"/>
      <c r="AZ31" s="41"/>
      <c r="BA31" s="41"/>
      <c r="BB31" s="41"/>
      <c r="BC31" s="41">
        <v>0</v>
      </c>
      <c r="BD31" s="41"/>
      <c r="BE31" s="41"/>
      <c r="BF31" s="62">
        <f t="shared" si="51"/>
        <v>0</v>
      </c>
      <c r="BG31" s="41">
        <f t="shared" si="52"/>
        <v>0</v>
      </c>
      <c r="BH31" s="41">
        <f t="shared" si="53"/>
        <v>0</v>
      </c>
      <c r="BI31" s="41">
        <f t="shared" si="54"/>
        <v>0</v>
      </c>
      <c r="BJ31" s="41">
        <f t="shared" si="55"/>
        <v>0</v>
      </c>
      <c r="BK31" s="41">
        <f t="shared" si="56"/>
        <v>0</v>
      </c>
      <c r="BL31" s="41">
        <f t="shared" si="57"/>
        <v>0</v>
      </c>
      <c r="BM31" s="41">
        <f t="shared" si="58"/>
        <v>0</v>
      </c>
      <c r="BN31" s="41">
        <f t="shared" si="59"/>
        <v>0</v>
      </c>
      <c r="BO31" s="41"/>
      <c r="BP31" s="41"/>
      <c r="BQ31" s="41"/>
      <c r="BR31" s="41"/>
      <c r="BS31" s="41"/>
      <c r="BT31" s="41"/>
      <c r="BU31" s="41"/>
      <c r="BV31" s="41"/>
      <c r="BX31" s="1">
        <v>0</v>
      </c>
      <c r="BY31" s="1">
        <v>0</v>
      </c>
      <c r="BZ31" s="1">
        <v>0</v>
      </c>
      <c r="CA31" s="1">
        <v>0</v>
      </c>
      <c r="CB31" s="1">
        <v>0</v>
      </c>
      <c r="CC31" s="1">
        <v>0</v>
      </c>
      <c r="CD31" s="1">
        <v>0</v>
      </c>
      <c r="CE31" s="1">
        <v>0</v>
      </c>
    </row>
    <row r="32" spans="1:83">
      <c r="A32" s="37" t="s">
        <v>148</v>
      </c>
      <c r="B32" s="62"/>
      <c r="C32" s="41"/>
      <c r="D32" s="41"/>
      <c r="E32" s="41"/>
      <c r="F32" s="41"/>
      <c r="G32" s="41">
        <v>0</v>
      </c>
      <c r="H32" s="41"/>
      <c r="I32" s="41"/>
      <c r="J32" s="41">
        <v>0</v>
      </c>
      <c r="K32" s="41">
        <v>0</v>
      </c>
      <c r="L32" s="41">
        <v>0</v>
      </c>
      <c r="M32" s="41">
        <v>1</v>
      </c>
      <c r="N32" s="41">
        <v>1</v>
      </c>
      <c r="O32" s="41">
        <v>1</v>
      </c>
      <c r="P32" s="41">
        <v>1</v>
      </c>
      <c r="Q32" s="41">
        <v>3</v>
      </c>
      <c r="R32" s="41">
        <v>7</v>
      </c>
      <c r="S32" s="41">
        <v>3</v>
      </c>
      <c r="T32" s="41">
        <v>1</v>
      </c>
      <c r="U32" s="41"/>
      <c r="V32" s="41">
        <v>7</v>
      </c>
      <c r="W32" s="41">
        <v>4</v>
      </c>
      <c r="X32" s="41">
        <v>9</v>
      </c>
      <c r="Y32" s="41">
        <v>8</v>
      </c>
      <c r="Z32" s="41">
        <v>6</v>
      </c>
      <c r="AA32" s="41">
        <v>14</v>
      </c>
      <c r="AB32" s="41">
        <v>11</v>
      </c>
      <c r="AC32" s="41">
        <v>6</v>
      </c>
      <c r="AD32" s="41">
        <v>5</v>
      </c>
      <c r="AE32" s="1">
        <v>10</v>
      </c>
      <c r="AF32" s="1">
        <v>15</v>
      </c>
      <c r="AG32" s="1">
        <v>6</v>
      </c>
      <c r="AH32" s="1">
        <v>15</v>
      </c>
      <c r="AI32" s="62"/>
      <c r="AJ32" s="41"/>
      <c r="AK32" s="41"/>
      <c r="AL32" s="41"/>
      <c r="AM32" s="41"/>
      <c r="AN32" s="41"/>
      <c r="AO32" s="41"/>
      <c r="AP32" s="41"/>
      <c r="AQ32" s="41"/>
      <c r="AR32" s="41">
        <v>0</v>
      </c>
      <c r="AS32" s="41"/>
      <c r="AT32" s="41"/>
      <c r="AU32" s="62"/>
      <c r="AV32" s="41"/>
      <c r="AW32" s="41"/>
      <c r="AX32" s="41"/>
      <c r="AY32" s="41"/>
      <c r="AZ32" s="41"/>
      <c r="BA32" s="41"/>
      <c r="BB32" s="41"/>
      <c r="BC32" s="41">
        <v>0</v>
      </c>
      <c r="BD32" s="41"/>
      <c r="BE32" s="41"/>
      <c r="BF32" s="62">
        <f t="shared" si="51"/>
        <v>0</v>
      </c>
      <c r="BG32" s="41">
        <f t="shared" si="52"/>
        <v>0</v>
      </c>
      <c r="BH32" s="41">
        <f t="shared" si="53"/>
        <v>0</v>
      </c>
      <c r="BI32" s="41">
        <f t="shared" si="54"/>
        <v>0</v>
      </c>
      <c r="BJ32" s="41">
        <f t="shared" si="55"/>
        <v>0</v>
      </c>
      <c r="BK32" s="41">
        <f t="shared" si="56"/>
        <v>0</v>
      </c>
      <c r="BL32" s="41">
        <f t="shared" si="57"/>
        <v>0</v>
      </c>
      <c r="BM32" s="41">
        <f t="shared" si="58"/>
        <v>0</v>
      </c>
      <c r="BN32" s="41">
        <f t="shared" si="59"/>
        <v>0</v>
      </c>
      <c r="BO32" s="41"/>
      <c r="BP32" s="41"/>
      <c r="BQ32" s="41"/>
      <c r="BR32" s="41"/>
      <c r="BS32" s="41"/>
      <c r="BT32" s="41"/>
      <c r="BU32" s="41"/>
      <c r="BV32" s="41"/>
      <c r="BX32" s="1">
        <v>0</v>
      </c>
      <c r="BY32" s="1">
        <v>0</v>
      </c>
      <c r="BZ32" s="1">
        <v>0</v>
      </c>
      <c r="CA32" s="1">
        <v>0</v>
      </c>
      <c r="CB32" s="1">
        <v>0</v>
      </c>
      <c r="CC32" s="1">
        <v>0</v>
      </c>
      <c r="CD32" s="1">
        <v>0</v>
      </c>
      <c r="CE32" s="1">
        <v>0</v>
      </c>
    </row>
    <row r="33" spans="1:83">
      <c r="A33" s="37" t="s">
        <v>147</v>
      </c>
      <c r="B33" s="62"/>
      <c r="C33" s="41"/>
      <c r="D33" s="41"/>
      <c r="E33" s="41"/>
      <c r="F33" s="41"/>
      <c r="G33" s="41">
        <v>1</v>
      </c>
      <c r="H33" s="41"/>
      <c r="I33" s="41"/>
      <c r="J33" s="41">
        <v>1</v>
      </c>
      <c r="K33" s="41">
        <v>4</v>
      </c>
      <c r="L33" s="41">
        <v>4</v>
      </c>
      <c r="M33" s="41">
        <v>2</v>
      </c>
      <c r="N33" s="41">
        <v>1</v>
      </c>
      <c r="O33" s="41">
        <v>6</v>
      </c>
      <c r="P33" s="41">
        <v>6</v>
      </c>
      <c r="Q33" s="41">
        <v>3</v>
      </c>
      <c r="R33" s="41">
        <v>6</v>
      </c>
      <c r="S33" s="41">
        <v>9</v>
      </c>
      <c r="T33" s="41">
        <v>4</v>
      </c>
      <c r="U33" s="41">
        <v>3</v>
      </c>
      <c r="V33" s="41">
        <v>10</v>
      </c>
      <c r="W33" s="41">
        <v>2</v>
      </c>
      <c r="X33" s="41">
        <v>6</v>
      </c>
      <c r="Y33" s="41">
        <v>10</v>
      </c>
      <c r="Z33" s="41">
        <v>5</v>
      </c>
      <c r="AA33" s="41">
        <v>4</v>
      </c>
      <c r="AB33" s="41">
        <v>9</v>
      </c>
      <c r="AC33" s="41">
        <v>10</v>
      </c>
      <c r="AD33" s="41">
        <v>6</v>
      </c>
      <c r="AE33" s="1">
        <v>4</v>
      </c>
      <c r="AF33" s="1">
        <v>7</v>
      </c>
      <c r="AG33" s="1">
        <v>5</v>
      </c>
      <c r="AH33" s="1">
        <v>6</v>
      </c>
      <c r="AI33" s="62"/>
      <c r="AJ33" s="41"/>
      <c r="AK33" s="41"/>
      <c r="AL33" s="41"/>
      <c r="AM33" s="41"/>
      <c r="AN33" s="41"/>
      <c r="AO33" s="41"/>
      <c r="AP33" s="41"/>
      <c r="AQ33" s="41"/>
      <c r="AR33" s="41">
        <v>0</v>
      </c>
      <c r="AS33" s="41"/>
      <c r="AT33" s="41"/>
      <c r="AU33" s="62"/>
      <c r="AV33" s="41"/>
      <c r="AW33" s="41"/>
      <c r="AX33" s="41"/>
      <c r="AY33" s="41"/>
      <c r="AZ33" s="41"/>
      <c r="BA33" s="41"/>
      <c r="BB33" s="41"/>
      <c r="BC33" s="41">
        <v>0</v>
      </c>
      <c r="BD33" s="41"/>
      <c r="BE33" s="41"/>
      <c r="BF33" s="62">
        <f t="shared" si="51"/>
        <v>0</v>
      </c>
      <c r="BG33" s="41">
        <f t="shared" si="52"/>
        <v>0</v>
      </c>
      <c r="BH33" s="41">
        <f t="shared" si="53"/>
        <v>0</v>
      </c>
      <c r="BI33" s="41">
        <f t="shared" si="54"/>
        <v>0</v>
      </c>
      <c r="BJ33" s="41">
        <f t="shared" si="55"/>
        <v>0</v>
      </c>
      <c r="BK33" s="41">
        <f t="shared" si="56"/>
        <v>0</v>
      </c>
      <c r="BL33" s="41">
        <f t="shared" si="57"/>
        <v>0</v>
      </c>
      <c r="BM33" s="41">
        <f t="shared" si="58"/>
        <v>0</v>
      </c>
      <c r="BN33" s="41">
        <f t="shared" si="59"/>
        <v>0</v>
      </c>
      <c r="BO33" s="41"/>
      <c r="BP33" s="41"/>
      <c r="BQ33" s="41"/>
      <c r="BR33" s="41"/>
      <c r="BS33" s="41"/>
      <c r="BT33" s="41"/>
      <c r="BU33" s="41"/>
      <c r="BV33" s="41"/>
      <c r="BX33" s="1">
        <v>0</v>
      </c>
      <c r="BY33" s="1">
        <v>0</v>
      </c>
      <c r="BZ33" s="1">
        <v>0</v>
      </c>
      <c r="CA33" s="1">
        <v>0</v>
      </c>
      <c r="CB33" s="1">
        <v>0</v>
      </c>
      <c r="CC33" s="1">
        <v>0</v>
      </c>
      <c r="CD33" s="1">
        <v>0</v>
      </c>
      <c r="CE33" s="1">
        <v>0</v>
      </c>
    </row>
    <row r="34" spans="1:83">
      <c r="A34" s="37" t="s">
        <v>151</v>
      </c>
      <c r="B34" s="62"/>
      <c r="C34" s="41"/>
      <c r="D34" s="41"/>
      <c r="E34" s="41"/>
      <c r="F34" s="41"/>
      <c r="G34" s="41">
        <v>4</v>
      </c>
      <c r="H34" s="41"/>
      <c r="I34" s="41"/>
      <c r="J34" s="41">
        <v>1</v>
      </c>
      <c r="K34" s="41">
        <v>4</v>
      </c>
      <c r="L34" s="41">
        <v>6</v>
      </c>
      <c r="M34" s="41">
        <v>3</v>
      </c>
      <c r="N34" s="41">
        <v>2</v>
      </c>
      <c r="O34" s="41">
        <v>4</v>
      </c>
      <c r="P34" s="41">
        <v>7</v>
      </c>
      <c r="Q34" s="41">
        <v>7</v>
      </c>
      <c r="R34" s="41">
        <v>3</v>
      </c>
      <c r="S34" s="41">
        <v>3</v>
      </c>
      <c r="T34" s="41">
        <v>6</v>
      </c>
      <c r="U34" s="41">
        <v>6</v>
      </c>
      <c r="V34" s="41">
        <v>4</v>
      </c>
      <c r="W34" s="41">
        <v>6</v>
      </c>
      <c r="X34" s="41">
        <v>13</v>
      </c>
      <c r="Y34" s="41">
        <v>2</v>
      </c>
      <c r="Z34" s="41">
        <v>6</v>
      </c>
      <c r="AA34" s="41">
        <v>4</v>
      </c>
      <c r="AB34" s="41">
        <v>9</v>
      </c>
      <c r="AC34" s="41">
        <v>4</v>
      </c>
      <c r="AD34" s="41">
        <v>7</v>
      </c>
      <c r="AE34" s="1">
        <v>11</v>
      </c>
      <c r="AF34" s="1">
        <v>14</v>
      </c>
      <c r="AG34" s="1">
        <v>36</v>
      </c>
      <c r="AH34" s="1">
        <v>55</v>
      </c>
      <c r="AI34" s="62"/>
      <c r="AJ34" s="41"/>
      <c r="AK34" s="41"/>
      <c r="AL34" s="41"/>
      <c r="AM34" s="41"/>
      <c r="AN34" s="41"/>
      <c r="AO34" s="41"/>
      <c r="AP34" s="41"/>
      <c r="AQ34" s="41"/>
      <c r="AR34" s="41">
        <v>0</v>
      </c>
      <c r="AS34" s="41"/>
      <c r="AT34" s="41"/>
      <c r="AU34" s="62"/>
      <c r="AV34" s="41"/>
      <c r="AW34" s="41"/>
      <c r="AX34" s="41"/>
      <c r="AY34" s="41"/>
      <c r="AZ34" s="41"/>
      <c r="BA34" s="41"/>
      <c r="BB34" s="41"/>
      <c r="BC34" s="41">
        <v>0</v>
      </c>
      <c r="BD34" s="41"/>
      <c r="BE34" s="41"/>
      <c r="BF34" s="62">
        <f t="shared" si="51"/>
        <v>0</v>
      </c>
      <c r="BG34" s="41">
        <f t="shared" si="52"/>
        <v>0</v>
      </c>
      <c r="BH34" s="41">
        <f t="shared" si="53"/>
        <v>0</v>
      </c>
      <c r="BI34" s="41">
        <f t="shared" si="54"/>
        <v>0</v>
      </c>
      <c r="BJ34" s="41">
        <f t="shared" si="55"/>
        <v>0</v>
      </c>
      <c r="BK34" s="41">
        <f t="shared" si="56"/>
        <v>0</v>
      </c>
      <c r="BL34" s="41">
        <f t="shared" si="57"/>
        <v>0</v>
      </c>
      <c r="BM34" s="41">
        <f t="shared" si="58"/>
        <v>0</v>
      </c>
      <c r="BN34" s="41">
        <f t="shared" si="59"/>
        <v>0</v>
      </c>
      <c r="BO34" s="41"/>
      <c r="BP34" s="41"/>
      <c r="BQ34" s="41"/>
      <c r="BR34" s="41"/>
      <c r="BS34" s="41"/>
      <c r="BT34" s="41"/>
      <c r="BU34" s="41"/>
      <c r="BV34" s="41"/>
      <c r="BX34" s="1">
        <v>0</v>
      </c>
      <c r="BY34" s="1">
        <v>0</v>
      </c>
      <c r="BZ34" s="1">
        <v>0</v>
      </c>
      <c r="CA34" s="1">
        <v>0</v>
      </c>
      <c r="CB34" s="1">
        <v>0</v>
      </c>
      <c r="CC34" s="1">
        <v>0</v>
      </c>
      <c r="CD34" s="1">
        <v>0</v>
      </c>
      <c r="CE34" s="1">
        <v>0</v>
      </c>
    </row>
    <row r="35" spans="1:83">
      <c r="A35" s="37" t="s">
        <v>155</v>
      </c>
      <c r="B35" s="62"/>
      <c r="C35" s="41"/>
      <c r="D35" s="41"/>
      <c r="E35" s="41"/>
      <c r="F35" s="41"/>
      <c r="G35" s="41">
        <v>6</v>
      </c>
      <c r="H35" s="41"/>
      <c r="I35" s="41"/>
      <c r="J35" s="41">
        <v>1</v>
      </c>
      <c r="K35" s="41">
        <v>1</v>
      </c>
      <c r="L35" s="41">
        <v>1</v>
      </c>
      <c r="M35" s="41">
        <v>2</v>
      </c>
      <c r="N35" s="41">
        <v>0</v>
      </c>
      <c r="O35" s="41">
        <v>0</v>
      </c>
      <c r="P35" s="41">
        <v>6</v>
      </c>
      <c r="Q35" s="41">
        <v>1</v>
      </c>
      <c r="R35" s="41">
        <v>2</v>
      </c>
      <c r="S35" s="41">
        <v>5</v>
      </c>
      <c r="T35" s="41">
        <v>2</v>
      </c>
      <c r="U35" s="41">
        <v>3</v>
      </c>
      <c r="V35" s="41">
        <v>3</v>
      </c>
      <c r="W35" s="41">
        <v>1</v>
      </c>
      <c r="X35" s="41">
        <v>2</v>
      </c>
      <c r="Y35" s="41">
        <v>3</v>
      </c>
      <c r="Z35" s="41">
        <v>4</v>
      </c>
      <c r="AA35" s="41">
        <v>17</v>
      </c>
      <c r="AB35" s="41">
        <v>4</v>
      </c>
      <c r="AC35" s="41">
        <v>17</v>
      </c>
      <c r="AD35" s="41">
        <v>10</v>
      </c>
      <c r="AE35" s="1">
        <v>6</v>
      </c>
      <c r="AF35" s="1">
        <v>13</v>
      </c>
      <c r="AG35" s="1">
        <v>9</v>
      </c>
      <c r="AH35" s="1">
        <v>4</v>
      </c>
      <c r="AI35" s="62"/>
      <c r="AJ35" s="41"/>
      <c r="AK35" s="41"/>
      <c r="AL35" s="41"/>
      <c r="AM35" s="41"/>
      <c r="AN35" s="41"/>
      <c r="AO35" s="41"/>
      <c r="AP35" s="41"/>
      <c r="AQ35" s="41"/>
      <c r="AR35" s="41">
        <v>0</v>
      </c>
      <c r="AS35" s="41"/>
      <c r="AT35" s="41"/>
      <c r="AU35" s="62"/>
      <c r="AV35" s="41"/>
      <c r="AW35" s="41"/>
      <c r="AX35" s="41"/>
      <c r="AY35" s="41"/>
      <c r="AZ35" s="41"/>
      <c r="BA35" s="41"/>
      <c r="BB35" s="41"/>
      <c r="BC35" s="41">
        <v>0</v>
      </c>
      <c r="BD35" s="41"/>
      <c r="BE35" s="41"/>
      <c r="BF35" s="62">
        <f t="shared" si="51"/>
        <v>0</v>
      </c>
      <c r="BG35" s="41">
        <f t="shared" si="52"/>
        <v>0</v>
      </c>
      <c r="BH35" s="41">
        <f t="shared" si="53"/>
        <v>0</v>
      </c>
      <c r="BI35" s="41">
        <f t="shared" si="54"/>
        <v>0</v>
      </c>
      <c r="BJ35" s="41">
        <f t="shared" si="55"/>
        <v>0</v>
      </c>
      <c r="BK35" s="41">
        <f t="shared" si="56"/>
        <v>0</v>
      </c>
      <c r="BL35" s="41">
        <f t="shared" si="57"/>
        <v>0</v>
      </c>
      <c r="BM35" s="41">
        <f t="shared" si="58"/>
        <v>0</v>
      </c>
      <c r="BN35" s="41">
        <f t="shared" si="59"/>
        <v>0</v>
      </c>
      <c r="BO35" s="41"/>
      <c r="BP35" s="41"/>
      <c r="BQ35" s="41"/>
      <c r="BR35" s="41"/>
      <c r="BS35" s="41"/>
      <c r="BT35" s="41"/>
      <c r="BU35" s="41"/>
      <c r="BV35" s="41"/>
      <c r="BX35" s="1">
        <v>0</v>
      </c>
      <c r="BY35" s="1">
        <v>0</v>
      </c>
      <c r="BZ35" s="1">
        <v>0</v>
      </c>
      <c r="CA35" s="1">
        <v>0</v>
      </c>
      <c r="CB35" s="1">
        <v>0</v>
      </c>
      <c r="CC35" s="1">
        <v>0</v>
      </c>
      <c r="CD35" s="1">
        <v>0</v>
      </c>
      <c r="CE35" s="1">
        <v>0</v>
      </c>
    </row>
    <row r="36" spans="1:83">
      <c r="A36" s="37" t="s">
        <v>67</v>
      </c>
      <c r="B36" s="62"/>
      <c r="C36" s="41"/>
      <c r="D36" s="41"/>
      <c r="E36" s="41"/>
      <c r="F36" s="41"/>
      <c r="G36" s="41">
        <v>11</v>
      </c>
      <c r="H36" s="41"/>
      <c r="I36" s="41"/>
      <c r="J36" s="41">
        <v>27</v>
      </c>
      <c r="K36" s="41">
        <v>9</v>
      </c>
      <c r="L36" s="41">
        <v>11</v>
      </c>
      <c r="M36" s="41">
        <v>5</v>
      </c>
      <c r="N36" s="41">
        <v>5</v>
      </c>
      <c r="O36" s="41">
        <v>15</v>
      </c>
      <c r="P36" s="41">
        <v>17</v>
      </c>
      <c r="Q36" s="41">
        <v>13</v>
      </c>
      <c r="R36" s="41">
        <v>14</v>
      </c>
      <c r="S36" s="41">
        <v>15</v>
      </c>
      <c r="T36" s="41">
        <v>12</v>
      </c>
      <c r="U36" s="41">
        <v>18</v>
      </c>
      <c r="V36" s="41">
        <v>28</v>
      </c>
      <c r="W36" s="41">
        <v>17</v>
      </c>
      <c r="X36" s="41">
        <v>22</v>
      </c>
      <c r="Y36" s="41">
        <v>15</v>
      </c>
      <c r="Z36" s="41">
        <v>34</v>
      </c>
      <c r="AA36" s="41">
        <v>52</v>
      </c>
      <c r="AB36" s="41">
        <v>30</v>
      </c>
      <c r="AC36" s="41">
        <v>27</v>
      </c>
      <c r="AD36" s="41">
        <v>26</v>
      </c>
      <c r="AE36" s="1">
        <v>24</v>
      </c>
      <c r="AF36" s="1">
        <v>13</v>
      </c>
      <c r="AG36" s="1">
        <v>17</v>
      </c>
      <c r="AH36" s="1">
        <v>30</v>
      </c>
      <c r="AI36" s="62"/>
      <c r="AJ36" s="41"/>
      <c r="AK36" s="41"/>
      <c r="AL36" s="41"/>
      <c r="AM36" s="41"/>
      <c r="AN36" s="41"/>
      <c r="AO36" s="41"/>
      <c r="AP36" s="41"/>
      <c r="AQ36" s="41"/>
      <c r="AR36" s="41">
        <v>0</v>
      </c>
      <c r="AS36" s="41"/>
      <c r="AT36" s="41"/>
      <c r="AU36" s="62"/>
      <c r="AV36" s="41"/>
      <c r="AW36" s="41"/>
      <c r="AX36" s="41"/>
      <c r="AY36" s="41"/>
      <c r="AZ36" s="41"/>
      <c r="BA36" s="41"/>
      <c r="BB36" s="41"/>
      <c r="BC36" s="41">
        <v>0</v>
      </c>
      <c r="BD36" s="41"/>
      <c r="BE36" s="41"/>
      <c r="BF36" s="62">
        <f t="shared" si="51"/>
        <v>0</v>
      </c>
      <c r="BG36" s="41">
        <f t="shared" si="52"/>
        <v>0</v>
      </c>
      <c r="BH36" s="41">
        <f t="shared" si="53"/>
        <v>0</v>
      </c>
      <c r="BI36" s="41">
        <f t="shared" si="54"/>
        <v>0</v>
      </c>
      <c r="BJ36" s="41">
        <f t="shared" si="55"/>
        <v>0</v>
      </c>
      <c r="BK36" s="41">
        <f t="shared" si="56"/>
        <v>0</v>
      </c>
      <c r="BL36" s="41">
        <f t="shared" si="57"/>
        <v>0</v>
      </c>
      <c r="BM36" s="41">
        <f t="shared" si="58"/>
        <v>0</v>
      </c>
      <c r="BN36" s="41">
        <f t="shared" si="59"/>
        <v>0</v>
      </c>
      <c r="BO36" s="41"/>
      <c r="BP36" s="41"/>
      <c r="BQ36" s="41"/>
      <c r="BR36" s="41">
        <v>9</v>
      </c>
      <c r="BS36" s="41"/>
      <c r="BT36" s="41"/>
      <c r="BU36" s="41">
        <v>5</v>
      </c>
      <c r="BV36" s="41"/>
      <c r="BW36" s="1">
        <v>5</v>
      </c>
      <c r="BX36" s="1">
        <v>2</v>
      </c>
      <c r="BY36" s="1">
        <v>3</v>
      </c>
      <c r="BZ36" s="1">
        <v>0</v>
      </c>
      <c r="CA36" s="1">
        <v>0</v>
      </c>
      <c r="CB36" s="1">
        <v>0</v>
      </c>
      <c r="CC36" s="1">
        <v>0</v>
      </c>
      <c r="CD36" s="1">
        <v>0</v>
      </c>
      <c r="CE36" s="1">
        <v>0</v>
      </c>
    </row>
    <row r="37" spans="1:83">
      <c r="A37" s="42" t="s">
        <v>158</v>
      </c>
      <c r="B37" s="63"/>
      <c r="C37" s="43"/>
      <c r="D37" s="43"/>
      <c r="E37" s="43"/>
      <c r="F37" s="43"/>
      <c r="G37" s="43">
        <v>0</v>
      </c>
      <c r="H37" s="43"/>
      <c r="I37" s="43"/>
      <c r="J37" s="43">
        <v>0</v>
      </c>
      <c r="K37" s="43">
        <v>0</v>
      </c>
      <c r="L37" s="43">
        <v>0</v>
      </c>
      <c r="M37" s="43">
        <v>0</v>
      </c>
      <c r="N37" s="43">
        <v>0</v>
      </c>
      <c r="O37" s="43">
        <v>1</v>
      </c>
      <c r="P37" s="43">
        <v>0</v>
      </c>
      <c r="Q37" s="43">
        <v>2</v>
      </c>
      <c r="R37" s="43">
        <v>0</v>
      </c>
      <c r="S37" s="43">
        <v>0</v>
      </c>
      <c r="T37" s="43">
        <v>1</v>
      </c>
      <c r="U37" s="43"/>
      <c r="V37" s="43">
        <v>0</v>
      </c>
      <c r="W37" s="43">
        <v>0</v>
      </c>
      <c r="X37" s="43">
        <v>2</v>
      </c>
      <c r="Y37" s="43">
        <v>0</v>
      </c>
      <c r="Z37" s="43">
        <v>0</v>
      </c>
      <c r="AA37" s="43">
        <v>0</v>
      </c>
      <c r="AB37" s="43">
        <v>0</v>
      </c>
      <c r="AC37" s="43">
        <v>1</v>
      </c>
      <c r="AD37" s="43">
        <v>1</v>
      </c>
      <c r="AE37" s="1">
        <v>0</v>
      </c>
      <c r="AF37" s="1">
        <v>1</v>
      </c>
      <c r="AG37" s="1">
        <v>1</v>
      </c>
      <c r="AH37" s="1">
        <v>0</v>
      </c>
      <c r="AI37" s="63"/>
      <c r="AJ37" s="43"/>
      <c r="AK37" s="43"/>
      <c r="AL37" s="43"/>
      <c r="AM37" s="43"/>
      <c r="AN37" s="43"/>
      <c r="AO37" s="43"/>
      <c r="AP37" s="43"/>
      <c r="AQ37" s="43"/>
      <c r="AR37" s="43">
        <v>0</v>
      </c>
      <c r="AS37" s="43"/>
      <c r="AT37" s="43"/>
      <c r="AU37" s="63"/>
      <c r="AV37" s="43"/>
      <c r="AW37" s="43"/>
      <c r="AX37" s="43"/>
      <c r="AY37" s="43"/>
      <c r="AZ37" s="43"/>
      <c r="BA37" s="43"/>
      <c r="BB37" s="43"/>
      <c r="BC37" s="43">
        <v>0</v>
      </c>
      <c r="BD37" s="43"/>
      <c r="BE37" s="43"/>
      <c r="BF37" s="63">
        <f t="shared" si="51"/>
        <v>0</v>
      </c>
      <c r="BG37" s="43">
        <f t="shared" si="52"/>
        <v>0</v>
      </c>
      <c r="BH37" s="43">
        <f t="shared" si="53"/>
        <v>0</v>
      </c>
      <c r="BI37" s="43">
        <f t="shared" si="54"/>
        <v>0</v>
      </c>
      <c r="BJ37" s="43">
        <f t="shared" si="55"/>
        <v>0</v>
      </c>
      <c r="BK37" s="43">
        <f t="shared" si="56"/>
        <v>0</v>
      </c>
      <c r="BL37" s="43">
        <f t="shared" si="57"/>
        <v>0</v>
      </c>
      <c r="BM37" s="43">
        <f t="shared" si="58"/>
        <v>0</v>
      </c>
      <c r="BN37" s="43">
        <f t="shared" si="59"/>
        <v>0</v>
      </c>
      <c r="BO37" s="43"/>
      <c r="BP37" s="43"/>
      <c r="BQ37" s="43"/>
      <c r="BR37" s="43"/>
      <c r="BS37" s="43"/>
      <c r="BT37" s="43"/>
      <c r="BU37" s="43"/>
      <c r="BV37" s="43"/>
      <c r="BX37" s="6">
        <v>0</v>
      </c>
      <c r="BY37" s="1">
        <v>0</v>
      </c>
      <c r="BZ37" s="1">
        <v>0</v>
      </c>
      <c r="CA37" s="1">
        <v>0</v>
      </c>
      <c r="CB37" s="1">
        <v>0</v>
      </c>
      <c r="CC37" s="1">
        <v>0</v>
      </c>
      <c r="CD37" s="1">
        <v>0</v>
      </c>
      <c r="CE37" s="1">
        <v>0</v>
      </c>
    </row>
    <row r="38" spans="1:83">
      <c r="A38" s="37" t="s">
        <v>211</v>
      </c>
      <c r="B38" s="60">
        <f t="shared" ref="B38:BU38" si="60">SUM(B40:B51)</f>
        <v>0</v>
      </c>
      <c r="C38" s="38">
        <f t="shared" si="60"/>
        <v>0</v>
      </c>
      <c r="D38" s="38">
        <f t="shared" si="60"/>
        <v>0</v>
      </c>
      <c r="E38" s="38">
        <f t="shared" si="60"/>
        <v>0</v>
      </c>
      <c r="F38" s="38">
        <f t="shared" si="60"/>
        <v>0</v>
      </c>
      <c r="G38" s="38">
        <f t="shared" si="60"/>
        <v>268</v>
      </c>
      <c r="H38" s="38">
        <f t="shared" si="60"/>
        <v>0</v>
      </c>
      <c r="I38" s="38">
        <f t="shared" si="60"/>
        <v>0</v>
      </c>
      <c r="J38" s="38">
        <f t="shared" si="60"/>
        <v>280</v>
      </c>
      <c r="K38" s="38">
        <f t="shared" si="60"/>
        <v>317</v>
      </c>
      <c r="L38" s="38">
        <f t="shared" si="60"/>
        <v>383</v>
      </c>
      <c r="M38" s="38">
        <f t="shared" si="60"/>
        <v>419</v>
      </c>
      <c r="N38" s="38">
        <f t="shared" si="60"/>
        <v>491</v>
      </c>
      <c r="O38" s="38">
        <f t="shared" si="60"/>
        <v>509</v>
      </c>
      <c r="P38" s="38">
        <f t="shared" si="60"/>
        <v>492</v>
      </c>
      <c r="Q38" s="38">
        <f t="shared" si="60"/>
        <v>525</v>
      </c>
      <c r="R38" s="38">
        <f t="shared" si="60"/>
        <v>588</v>
      </c>
      <c r="S38" s="38">
        <f t="shared" si="60"/>
        <v>567</v>
      </c>
      <c r="T38" s="38">
        <f t="shared" si="60"/>
        <v>584</v>
      </c>
      <c r="U38" s="38">
        <f t="shared" si="60"/>
        <v>591</v>
      </c>
      <c r="V38" s="38">
        <f t="shared" si="60"/>
        <v>812</v>
      </c>
      <c r="W38" s="38">
        <f t="shared" si="60"/>
        <v>812</v>
      </c>
      <c r="X38" s="38">
        <f t="shared" si="60"/>
        <v>821</v>
      </c>
      <c r="Y38" s="38">
        <f t="shared" ref="Y38:Z38" si="61">SUM(Y40:Y51)</f>
        <v>834</v>
      </c>
      <c r="Z38" s="38">
        <f t="shared" si="61"/>
        <v>837</v>
      </c>
      <c r="AA38" s="38">
        <f t="shared" ref="AA38:AB38" si="62">SUM(AA40:AA51)</f>
        <v>629</v>
      </c>
      <c r="AB38" s="38">
        <f t="shared" si="62"/>
        <v>630</v>
      </c>
      <c r="AC38" s="38">
        <f t="shared" ref="AC38:AD38" si="63">SUM(AC40:AC51)</f>
        <v>703</v>
      </c>
      <c r="AD38" s="38">
        <f t="shared" si="63"/>
        <v>677</v>
      </c>
      <c r="AE38" s="38">
        <f t="shared" ref="AE38:AF38" si="64">SUM(AE40:AE51)</f>
        <v>764</v>
      </c>
      <c r="AF38" s="38">
        <f t="shared" si="64"/>
        <v>745</v>
      </c>
      <c r="AG38" s="38">
        <f t="shared" ref="AG38:AH38" si="65">SUM(AG40:AG51)</f>
        <v>766</v>
      </c>
      <c r="AH38" s="38">
        <f t="shared" si="65"/>
        <v>795</v>
      </c>
      <c r="AI38" s="60">
        <f t="shared" si="60"/>
        <v>0</v>
      </c>
      <c r="AJ38" s="38">
        <f t="shared" si="60"/>
        <v>0</v>
      </c>
      <c r="AK38" s="38">
        <f t="shared" si="60"/>
        <v>0</v>
      </c>
      <c r="AL38" s="38">
        <f t="shared" si="60"/>
        <v>0</v>
      </c>
      <c r="AM38" s="38">
        <f t="shared" si="60"/>
        <v>0</v>
      </c>
      <c r="AN38" s="38">
        <f t="shared" si="60"/>
        <v>0</v>
      </c>
      <c r="AO38" s="38">
        <f t="shared" si="60"/>
        <v>0</v>
      </c>
      <c r="AP38" s="38">
        <f t="shared" si="60"/>
        <v>0</v>
      </c>
      <c r="AQ38" s="38">
        <f t="shared" si="60"/>
        <v>0</v>
      </c>
      <c r="AR38" s="38">
        <f t="shared" si="60"/>
        <v>0</v>
      </c>
      <c r="AS38" s="38">
        <f t="shared" si="60"/>
        <v>0</v>
      </c>
      <c r="AT38" s="38">
        <f t="shared" si="60"/>
        <v>0</v>
      </c>
      <c r="AU38" s="60">
        <f t="shared" si="60"/>
        <v>0</v>
      </c>
      <c r="AV38" s="38">
        <f t="shared" si="60"/>
        <v>0</v>
      </c>
      <c r="AW38" s="38">
        <f t="shared" si="60"/>
        <v>0</v>
      </c>
      <c r="AX38" s="38">
        <f t="shared" si="60"/>
        <v>0</v>
      </c>
      <c r="AY38" s="38">
        <f t="shared" si="60"/>
        <v>0</v>
      </c>
      <c r="AZ38" s="38">
        <f t="shared" si="60"/>
        <v>0</v>
      </c>
      <c r="BA38" s="38">
        <f t="shared" si="60"/>
        <v>0</v>
      </c>
      <c r="BB38" s="38">
        <f t="shared" si="60"/>
        <v>0</v>
      </c>
      <c r="BC38" s="38">
        <f t="shared" si="60"/>
        <v>0</v>
      </c>
      <c r="BD38" s="38">
        <f t="shared" si="60"/>
        <v>0</v>
      </c>
      <c r="BE38" s="38">
        <f t="shared" si="60"/>
        <v>0</v>
      </c>
      <c r="BF38" s="60">
        <f t="shared" si="60"/>
        <v>0</v>
      </c>
      <c r="BG38" s="38">
        <f t="shared" si="60"/>
        <v>0</v>
      </c>
      <c r="BH38" s="38">
        <f t="shared" si="60"/>
        <v>0</v>
      </c>
      <c r="BI38" s="38">
        <f t="shared" si="60"/>
        <v>0</v>
      </c>
      <c r="BJ38" s="38">
        <f t="shared" si="60"/>
        <v>0</v>
      </c>
      <c r="BK38" s="38">
        <f t="shared" si="60"/>
        <v>0</v>
      </c>
      <c r="BL38" s="38">
        <f t="shared" si="60"/>
        <v>0</v>
      </c>
      <c r="BM38" s="38">
        <f t="shared" si="60"/>
        <v>0</v>
      </c>
      <c r="BN38" s="38">
        <f t="shared" si="60"/>
        <v>0</v>
      </c>
      <c r="BO38" s="38">
        <f t="shared" si="60"/>
        <v>0</v>
      </c>
      <c r="BP38" s="38">
        <f t="shared" si="60"/>
        <v>0</v>
      </c>
      <c r="BQ38" s="38">
        <f t="shared" si="60"/>
        <v>0</v>
      </c>
      <c r="BR38" s="38">
        <f t="shared" si="60"/>
        <v>32</v>
      </c>
      <c r="BS38" s="38">
        <f t="shared" si="60"/>
        <v>0</v>
      </c>
      <c r="BT38" s="38">
        <f t="shared" si="60"/>
        <v>45</v>
      </c>
      <c r="BU38" s="38">
        <f t="shared" si="60"/>
        <v>2</v>
      </c>
      <c r="BV38" s="38">
        <f t="shared" ref="BV38:BW38" si="66">SUM(BV40:BV51)</f>
        <v>1</v>
      </c>
      <c r="BW38" s="38">
        <f t="shared" si="66"/>
        <v>2</v>
      </c>
      <c r="BX38" s="38">
        <f t="shared" ref="BX38:BY38" si="67">SUM(BX40:BX51)</f>
        <v>3</v>
      </c>
      <c r="BY38" s="38">
        <f t="shared" si="67"/>
        <v>27</v>
      </c>
      <c r="BZ38" s="38">
        <f t="shared" ref="BZ38:CA38" si="68">SUM(BZ40:BZ51)</f>
        <v>49</v>
      </c>
      <c r="CA38" s="38">
        <f t="shared" si="68"/>
        <v>0</v>
      </c>
      <c r="CB38" s="38">
        <f t="shared" ref="CB38:CC38" si="69">SUM(CB40:CB51)</f>
        <v>35</v>
      </c>
      <c r="CC38" s="38">
        <f t="shared" si="69"/>
        <v>24</v>
      </c>
      <c r="CD38" s="38">
        <f t="shared" ref="CD38:CE38" si="70">SUM(CD40:CD51)</f>
        <v>28</v>
      </c>
      <c r="CE38" s="38">
        <f t="shared" si="70"/>
        <v>16</v>
      </c>
    </row>
    <row r="39" spans="1:83">
      <c r="A39" s="39" t="s">
        <v>213</v>
      </c>
      <c r="B39" s="61">
        <f t="shared" ref="B39:BU39" si="71">(B38/B4)*100</f>
        <v>0</v>
      </c>
      <c r="C39" s="40">
        <f t="shared" si="71"/>
        <v>0</v>
      </c>
      <c r="D39" s="40">
        <f t="shared" si="71"/>
        <v>0</v>
      </c>
      <c r="E39" s="40">
        <f t="shared" si="71"/>
        <v>0</v>
      </c>
      <c r="F39" s="40">
        <f t="shared" si="71"/>
        <v>0</v>
      </c>
      <c r="G39" s="40">
        <f t="shared" si="71"/>
        <v>26.377952755905511</v>
      </c>
      <c r="H39" s="40">
        <f t="shared" si="71"/>
        <v>0</v>
      </c>
      <c r="I39" s="40">
        <f t="shared" si="71"/>
        <v>0</v>
      </c>
      <c r="J39" s="40">
        <f t="shared" si="71"/>
        <v>23.294509151414307</v>
      </c>
      <c r="K39" s="40">
        <f t="shared" si="71"/>
        <v>24.015151515151516</v>
      </c>
      <c r="L39" s="40">
        <f t="shared" si="71"/>
        <v>28.497023809523807</v>
      </c>
      <c r="M39" s="40">
        <f t="shared" si="71"/>
        <v>26.089663760896638</v>
      </c>
      <c r="N39" s="40">
        <f t="shared" si="71"/>
        <v>31.413947536788228</v>
      </c>
      <c r="O39" s="40">
        <f t="shared" si="71"/>
        <v>28.499440089585665</v>
      </c>
      <c r="P39" s="40">
        <f t="shared" si="71"/>
        <v>24.798387096774192</v>
      </c>
      <c r="Q39" s="40">
        <f t="shared" si="71"/>
        <v>24.452724732184443</v>
      </c>
      <c r="R39" s="40">
        <f t="shared" si="71"/>
        <v>24.904701397712834</v>
      </c>
      <c r="S39" s="40">
        <f t="shared" si="71"/>
        <v>20.822622107969153</v>
      </c>
      <c r="T39" s="40">
        <f t="shared" si="71"/>
        <v>20.512820512820511</v>
      </c>
      <c r="U39" s="40">
        <f t="shared" si="71"/>
        <v>20.817189151109545</v>
      </c>
      <c r="V39" s="40">
        <f t="shared" si="71"/>
        <v>23.522595596755504</v>
      </c>
      <c r="W39" s="40">
        <f t="shared" si="71"/>
        <v>23.346751006325476</v>
      </c>
      <c r="X39" s="40">
        <f t="shared" si="71"/>
        <v>22.524005486968449</v>
      </c>
      <c r="Y39" s="40">
        <f t="shared" ref="Y39:Z39" si="72">(Y38/Y4)*100</f>
        <v>24.777183600713013</v>
      </c>
      <c r="Z39" s="40">
        <f t="shared" si="72"/>
        <v>24.204742625795259</v>
      </c>
      <c r="AA39" s="40">
        <f t="shared" ref="AA39:AB39" si="73">(AA38/AA4)*100</f>
        <v>17.247052371812448</v>
      </c>
      <c r="AB39" s="40">
        <f t="shared" si="73"/>
        <v>16.706443914081145</v>
      </c>
      <c r="AC39" s="40">
        <f t="shared" ref="AC39:AH39" si="74">(AC38/AC4)*100</f>
        <v>17.712270093222475</v>
      </c>
      <c r="AD39" s="40">
        <f t="shared" si="74"/>
        <v>16.134413727359391</v>
      </c>
      <c r="AE39" s="40">
        <f t="shared" si="74"/>
        <v>18.134346071682884</v>
      </c>
      <c r="AF39" s="40">
        <f t="shared" si="74"/>
        <v>16.220335292836925</v>
      </c>
      <c r="AG39" s="40">
        <f t="shared" si="74"/>
        <v>16.950652799291881</v>
      </c>
      <c r="AH39" s="40">
        <f t="shared" si="74"/>
        <v>16.307692307692307</v>
      </c>
      <c r="AI39" s="61">
        <f t="shared" si="71"/>
        <v>0</v>
      </c>
      <c r="AJ39" s="40">
        <f t="shared" si="71"/>
        <v>0</v>
      </c>
      <c r="AK39" s="40">
        <f t="shared" si="71"/>
        <v>0</v>
      </c>
      <c r="AL39" s="40">
        <f t="shared" si="71"/>
        <v>0</v>
      </c>
      <c r="AM39" s="40">
        <f t="shared" si="71"/>
        <v>0</v>
      </c>
      <c r="AN39" s="40">
        <f t="shared" si="71"/>
        <v>0</v>
      </c>
      <c r="AO39" s="40">
        <f t="shared" si="71"/>
        <v>0</v>
      </c>
      <c r="AP39" s="40">
        <f t="shared" si="71"/>
        <v>0</v>
      </c>
      <c r="AQ39" s="40">
        <f t="shared" si="71"/>
        <v>0</v>
      </c>
      <c r="AR39" s="40">
        <f t="shared" si="71"/>
        <v>0</v>
      </c>
      <c r="AS39" s="40">
        <f t="shared" si="71"/>
        <v>0</v>
      </c>
      <c r="AT39" s="40">
        <f t="shared" si="71"/>
        <v>0</v>
      </c>
      <c r="AU39" s="61">
        <f t="shared" si="71"/>
        <v>0</v>
      </c>
      <c r="AV39" s="40">
        <f t="shared" si="71"/>
        <v>0</v>
      </c>
      <c r="AW39" s="40">
        <f t="shared" si="71"/>
        <v>0</v>
      </c>
      <c r="AX39" s="40">
        <f t="shared" si="71"/>
        <v>0</v>
      </c>
      <c r="AY39" s="40">
        <f t="shared" si="71"/>
        <v>0</v>
      </c>
      <c r="AZ39" s="40">
        <f t="shared" si="71"/>
        <v>0</v>
      </c>
      <c r="BA39" s="40">
        <f t="shared" si="71"/>
        <v>0</v>
      </c>
      <c r="BB39" s="40">
        <f t="shared" si="71"/>
        <v>0</v>
      </c>
      <c r="BC39" s="40">
        <f t="shared" si="71"/>
        <v>0</v>
      </c>
      <c r="BD39" s="40">
        <f t="shared" si="71"/>
        <v>0</v>
      </c>
      <c r="BE39" s="40">
        <f t="shared" si="71"/>
        <v>0</v>
      </c>
      <c r="BF39" s="61">
        <f t="shared" si="71"/>
        <v>0</v>
      </c>
      <c r="BG39" s="40">
        <f t="shared" si="71"/>
        <v>0</v>
      </c>
      <c r="BH39" s="40">
        <f t="shared" si="71"/>
        <v>0</v>
      </c>
      <c r="BI39" s="40">
        <f t="shared" si="71"/>
        <v>0</v>
      </c>
      <c r="BJ39" s="40">
        <f t="shared" si="71"/>
        <v>0</v>
      </c>
      <c r="BK39" s="40">
        <f t="shared" si="71"/>
        <v>0</v>
      </c>
      <c r="BL39" s="40">
        <f t="shared" si="71"/>
        <v>0</v>
      </c>
      <c r="BM39" s="40">
        <f t="shared" si="71"/>
        <v>0</v>
      </c>
      <c r="BN39" s="40">
        <f t="shared" si="71"/>
        <v>0</v>
      </c>
      <c r="BO39" s="40">
        <f t="shared" si="71"/>
        <v>0</v>
      </c>
      <c r="BP39" s="40">
        <f t="shared" si="71"/>
        <v>0</v>
      </c>
      <c r="BQ39" s="40">
        <f t="shared" si="71"/>
        <v>0</v>
      </c>
      <c r="BR39" s="40">
        <f t="shared" si="71"/>
        <v>9.0651558073654392</v>
      </c>
      <c r="BS39" s="40">
        <f t="shared" si="71"/>
        <v>0</v>
      </c>
      <c r="BT39" s="40">
        <f t="shared" si="71"/>
        <v>11.002444987775061</v>
      </c>
      <c r="BU39" s="40">
        <f t="shared" si="71"/>
        <v>0.42553191489361702</v>
      </c>
      <c r="BV39" s="40">
        <f t="shared" ref="BV39:BW39" si="75">(BV38/BV4)*100</f>
        <v>0.32467532467532467</v>
      </c>
      <c r="BW39" s="40">
        <f t="shared" si="75"/>
        <v>0.61919504643962853</v>
      </c>
      <c r="BX39" s="40">
        <f t="shared" ref="BX39:BY39" si="76">(BX38/BX4)*100</f>
        <v>0.82644628099173556</v>
      </c>
      <c r="BY39" s="40">
        <f t="shared" si="76"/>
        <v>5.202312138728324</v>
      </c>
      <c r="BZ39" s="40">
        <f t="shared" ref="BZ39:CE39" si="77">(BZ38/BZ4)*100</f>
        <v>7.34632683658171</v>
      </c>
      <c r="CA39" s="40">
        <f t="shared" si="77"/>
        <v>0</v>
      </c>
      <c r="CB39" s="40">
        <f t="shared" si="77"/>
        <v>6.4338235294117645</v>
      </c>
      <c r="CC39" s="40">
        <f t="shared" si="77"/>
        <v>3.7914691943127963</v>
      </c>
      <c r="CD39" s="40">
        <f t="shared" si="77"/>
        <v>6.0737527114967458</v>
      </c>
      <c r="CE39" s="40">
        <f t="shared" si="77"/>
        <v>3.2586558044806515</v>
      </c>
    </row>
    <row r="40" spans="1:83">
      <c r="A40" s="37" t="s">
        <v>134</v>
      </c>
      <c r="B40" s="62"/>
      <c r="C40" s="41"/>
      <c r="D40" s="41"/>
      <c r="E40" s="41"/>
      <c r="F40" s="41"/>
      <c r="G40" s="41">
        <v>60</v>
      </c>
      <c r="H40" s="41"/>
      <c r="I40" s="41"/>
      <c r="J40" s="41">
        <v>72</v>
      </c>
      <c r="K40" s="41">
        <v>77</v>
      </c>
      <c r="L40" s="41">
        <v>92</v>
      </c>
      <c r="M40" s="41">
        <v>99</v>
      </c>
      <c r="N40" s="41">
        <v>112</v>
      </c>
      <c r="O40" s="41">
        <v>124</v>
      </c>
      <c r="P40" s="41">
        <v>109</v>
      </c>
      <c r="Q40" s="41">
        <v>103</v>
      </c>
      <c r="R40" s="41">
        <v>155</v>
      </c>
      <c r="S40" s="41">
        <v>122</v>
      </c>
      <c r="T40" s="41">
        <v>141</v>
      </c>
      <c r="U40" s="41">
        <v>142</v>
      </c>
      <c r="V40" s="41">
        <v>175</v>
      </c>
      <c r="W40" s="41">
        <v>161</v>
      </c>
      <c r="X40" s="41">
        <v>137</v>
      </c>
      <c r="Y40" s="41">
        <v>140</v>
      </c>
      <c r="Z40" s="41">
        <v>173</v>
      </c>
      <c r="AA40" s="41">
        <v>156</v>
      </c>
      <c r="AB40" s="41">
        <v>205</v>
      </c>
      <c r="AC40" s="41">
        <v>191</v>
      </c>
      <c r="AD40" s="41">
        <v>214</v>
      </c>
      <c r="AE40" s="1">
        <v>277</v>
      </c>
      <c r="AF40" s="1">
        <v>210</v>
      </c>
      <c r="AG40" s="1">
        <v>197</v>
      </c>
      <c r="AH40" s="1">
        <v>217</v>
      </c>
      <c r="AI40" s="62"/>
      <c r="AJ40" s="41"/>
      <c r="AK40" s="41"/>
      <c r="AL40" s="41"/>
      <c r="AM40" s="41">
        <v>0</v>
      </c>
      <c r="AN40" s="41">
        <v>0</v>
      </c>
      <c r="AO40" s="41"/>
      <c r="AP40" s="41"/>
      <c r="AQ40" s="41"/>
      <c r="AR40" s="41">
        <v>0</v>
      </c>
      <c r="AS40" s="41">
        <v>0</v>
      </c>
      <c r="AT40" s="41"/>
      <c r="AU40" s="62"/>
      <c r="AV40" s="41"/>
      <c r="AW40" s="41"/>
      <c r="AX40" s="41"/>
      <c r="AY40" s="41"/>
      <c r="AZ40" s="41"/>
      <c r="BA40" s="41"/>
      <c r="BB40" s="41"/>
      <c r="BC40" s="41">
        <v>0</v>
      </c>
      <c r="BD40" s="41"/>
      <c r="BE40" s="41"/>
      <c r="BF40" s="62">
        <f t="shared" ref="BF40:BF51" si="78">IF(AJ40&gt;AU40,(AJ40),(AU40))</f>
        <v>0</v>
      </c>
      <c r="BG40" s="41">
        <f t="shared" ref="BG40:BG51" si="79">IF(AM40&gt;AX40,(AM40),(AX40))</f>
        <v>0</v>
      </c>
      <c r="BH40" s="41">
        <f t="shared" ref="BH40:BH51" si="80">IF(AN40&gt;AY40,(AN40),(AY40))</f>
        <v>0</v>
      </c>
      <c r="BI40" s="41">
        <f t="shared" ref="BI40:BI51" si="81">IF(AO40&gt;AZ40,(AO40),(AZ40))</f>
        <v>0</v>
      </c>
      <c r="BJ40" s="41">
        <f t="shared" ref="BJ40:BJ51" si="82">IF(AP40&gt;BA40,(AP40),(BA40))</f>
        <v>0</v>
      </c>
      <c r="BK40" s="41">
        <f t="shared" ref="BK40:BK51" si="83">IF(AQ40&gt;BB40,(AQ40),(BB40))</f>
        <v>0</v>
      </c>
      <c r="BL40" s="41">
        <f t="shared" ref="BL40:BL51" si="84">IF(AR40&gt;BC40,(AR40),(BC40))</f>
        <v>0</v>
      </c>
      <c r="BM40" s="41">
        <f t="shared" ref="BM40:BM51" si="85">IF(AS40&gt;BD40,(AS40),(BD40))</f>
        <v>0</v>
      </c>
      <c r="BN40" s="41">
        <f t="shared" ref="BN40:BN51" si="86">IF(AT40&gt;BE40,(AT40),(BE40))</f>
        <v>0</v>
      </c>
      <c r="BO40" s="41"/>
      <c r="BP40" s="41"/>
      <c r="BQ40" s="41"/>
      <c r="BR40" s="41"/>
      <c r="BS40" s="41">
        <v>0</v>
      </c>
      <c r="BT40" s="41">
        <v>0</v>
      </c>
      <c r="BU40" s="41">
        <v>2</v>
      </c>
      <c r="BV40" s="41">
        <v>1</v>
      </c>
      <c r="BW40" s="1">
        <v>2</v>
      </c>
      <c r="BX40" s="1">
        <v>3</v>
      </c>
      <c r="BY40" s="1">
        <v>27</v>
      </c>
      <c r="BZ40" s="1">
        <v>44</v>
      </c>
      <c r="CA40" s="1">
        <v>0</v>
      </c>
      <c r="CB40" s="1">
        <v>35</v>
      </c>
      <c r="CC40" s="1">
        <v>24</v>
      </c>
      <c r="CD40" s="1">
        <v>17</v>
      </c>
      <c r="CE40" s="1">
        <v>12</v>
      </c>
    </row>
    <row r="41" spans="1:83">
      <c r="A41" s="37" t="s">
        <v>135</v>
      </c>
      <c r="B41" s="62"/>
      <c r="C41" s="41"/>
      <c r="D41" s="41"/>
      <c r="E41" s="41"/>
      <c r="F41" s="41"/>
      <c r="G41" s="41">
        <v>22</v>
      </c>
      <c r="H41" s="41"/>
      <c r="I41" s="41"/>
      <c r="J41" s="41">
        <v>18</v>
      </c>
      <c r="K41" s="41">
        <v>18</v>
      </c>
      <c r="L41" s="41">
        <v>16</v>
      </c>
      <c r="M41" s="41">
        <v>18</v>
      </c>
      <c r="N41" s="41">
        <v>18</v>
      </c>
      <c r="O41" s="41">
        <v>25</v>
      </c>
      <c r="P41" s="41">
        <v>18</v>
      </c>
      <c r="Q41" s="41">
        <v>26</v>
      </c>
      <c r="R41" s="41">
        <v>31</v>
      </c>
      <c r="S41" s="41">
        <v>24</v>
      </c>
      <c r="T41" s="41">
        <v>45</v>
      </c>
      <c r="U41" s="41">
        <v>43</v>
      </c>
      <c r="V41" s="41">
        <v>46</v>
      </c>
      <c r="W41" s="41">
        <v>51</v>
      </c>
      <c r="X41" s="41">
        <v>47</v>
      </c>
      <c r="Y41" s="41">
        <v>33</v>
      </c>
      <c r="Z41" s="41">
        <v>60</v>
      </c>
      <c r="AA41" s="41">
        <v>49</v>
      </c>
      <c r="AB41" s="41">
        <v>56</v>
      </c>
      <c r="AC41" s="41">
        <v>51</v>
      </c>
      <c r="AD41" s="41">
        <v>58</v>
      </c>
      <c r="AE41" s="1">
        <v>58</v>
      </c>
      <c r="AF41" s="1">
        <v>56</v>
      </c>
      <c r="AG41" s="1">
        <v>64</v>
      </c>
      <c r="AH41" s="1">
        <v>64</v>
      </c>
      <c r="AI41" s="62"/>
      <c r="AJ41" s="41"/>
      <c r="AK41" s="41"/>
      <c r="AL41" s="41"/>
      <c r="AM41" s="41">
        <v>0</v>
      </c>
      <c r="AN41" s="41">
        <v>0</v>
      </c>
      <c r="AO41" s="41"/>
      <c r="AP41" s="41"/>
      <c r="AQ41" s="41"/>
      <c r="AR41" s="41">
        <v>0</v>
      </c>
      <c r="AS41" s="41"/>
      <c r="AT41" s="41"/>
      <c r="AU41" s="62"/>
      <c r="AV41" s="41"/>
      <c r="AW41" s="41"/>
      <c r="AX41" s="41"/>
      <c r="AY41" s="41"/>
      <c r="AZ41" s="41"/>
      <c r="BA41" s="41"/>
      <c r="BB41" s="41"/>
      <c r="BC41" s="41">
        <v>0</v>
      </c>
      <c r="BD41" s="41"/>
      <c r="BE41" s="41"/>
      <c r="BF41" s="62">
        <f t="shared" si="78"/>
        <v>0</v>
      </c>
      <c r="BG41" s="41">
        <f t="shared" si="79"/>
        <v>0</v>
      </c>
      <c r="BH41" s="41">
        <f t="shared" si="80"/>
        <v>0</v>
      </c>
      <c r="BI41" s="41">
        <f t="shared" si="81"/>
        <v>0</v>
      </c>
      <c r="BJ41" s="41">
        <f t="shared" si="82"/>
        <v>0</v>
      </c>
      <c r="BK41" s="41">
        <f t="shared" si="83"/>
        <v>0</v>
      </c>
      <c r="BL41" s="41">
        <f t="shared" si="84"/>
        <v>0</v>
      </c>
      <c r="BM41" s="41">
        <f t="shared" si="85"/>
        <v>0</v>
      </c>
      <c r="BN41" s="41">
        <f t="shared" si="86"/>
        <v>0</v>
      </c>
      <c r="BO41" s="41"/>
      <c r="BP41" s="41"/>
      <c r="BQ41" s="41"/>
      <c r="BR41" s="41"/>
      <c r="BS41" s="41"/>
      <c r="BT41" s="41"/>
      <c r="BU41" s="41"/>
      <c r="BV41" s="41"/>
      <c r="BX41" s="1">
        <v>0</v>
      </c>
      <c r="BY41" s="1">
        <v>0</v>
      </c>
      <c r="CA41" s="1">
        <v>0</v>
      </c>
      <c r="CB41" s="1">
        <v>0</v>
      </c>
      <c r="CC41" s="1">
        <v>0</v>
      </c>
      <c r="CD41" s="1">
        <v>11</v>
      </c>
      <c r="CE41" s="1">
        <v>0</v>
      </c>
    </row>
    <row r="42" spans="1:83">
      <c r="A42" s="37" t="s">
        <v>132</v>
      </c>
      <c r="B42" s="62"/>
      <c r="C42" s="41"/>
      <c r="D42" s="41"/>
      <c r="E42" s="41"/>
      <c r="F42" s="41"/>
      <c r="G42" s="41">
        <v>13</v>
      </c>
      <c r="H42" s="41"/>
      <c r="I42" s="41"/>
      <c r="J42" s="41">
        <v>18</v>
      </c>
      <c r="K42" s="41">
        <v>16</v>
      </c>
      <c r="L42" s="41">
        <v>11</v>
      </c>
      <c r="M42" s="41">
        <v>12</v>
      </c>
      <c r="N42" s="41">
        <v>17</v>
      </c>
      <c r="O42" s="41">
        <v>20</v>
      </c>
      <c r="P42" s="41">
        <v>20</v>
      </c>
      <c r="Q42" s="41">
        <v>22</v>
      </c>
      <c r="R42" s="41">
        <v>17</v>
      </c>
      <c r="S42" s="41">
        <v>17</v>
      </c>
      <c r="T42" s="41">
        <v>14</v>
      </c>
      <c r="U42" s="41">
        <v>8</v>
      </c>
      <c r="V42" s="41">
        <v>23</v>
      </c>
      <c r="W42" s="41">
        <v>20</v>
      </c>
      <c r="X42" s="41">
        <v>20</v>
      </c>
      <c r="Y42" s="41">
        <v>23</v>
      </c>
      <c r="Z42" s="41">
        <v>15</v>
      </c>
      <c r="AA42" s="41">
        <v>21</v>
      </c>
      <c r="AB42" s="41">
        <v>23</v>
      </c>
      <c r="AC42" s="41">
        <v>35</v>
      </c>
      <c r="AD42" s="41">
        <v>18</v>
      </c>
      <c r="AE42" s="1">
        <v>23</v>
      </c>
      <c r="AF42" s="1">
        <v>15</v>
      </c>
      <c r="AG42" s="1">
        <v>29</v>
      </c>
      <c r="AH42" s="1">
        <v>18</v>
      </c>
      <c r="AI42" s="62"/>
      <c r="AJ42" s="41"/>
      <c r="AK42" s="41"/>
      <c r="AL42" s="41"/>
      <c r="AM42" s="41"/>
      <c r="AN42" s="41"/>
      <c r="AO42" s="41"/>
      <c r="AP42" s="41"/>
      <c r="AQ42" s="41"/>
      <c r="AR42" s="41">
        <v>0</v>
      </c>
      <c r="AS42" s="41"/>
      <c r="AT42" s="41"/>
      <c r="AU42" s="62"/>
      <c r="AV42" s="41"/>
      <c r="AW42" s="41"/>
      <c r="AX42" s="41"/>
      <c r="AY42" s="41"/>
      <c r="AZ42" s="41"/>
      <c r="BA42" s="41"/>
      <c r="BB42" s="41"/>
      <c r="BC42" s="41">
        <v>0</v>
      </c>
      <c r="BD42" s="41"/>
      <c r="BE42" s="41"/>
      <c r="BF42" s="62">
        <f t="shared" si="78"/>
        <v>0</v>
      </c>
      <c r="BG42" s="41">
        <f t="shared" si="79"/>
        <v>0</v>
      </c>
      <c r="BH42" s="41">
        <f t="shared" si="80"/>
        <v>0</v>
      </c>
      <c r="BI42" s="41">
        <f t="shared" si="81"/>
        <v>0</v>
      </c>
      <c r="BJ42" s="41">
        <f t="shared" si="82"/>
        <v>0</v>
      </c>
      <c r="BK42" s="41">
        <f t="shared" si="83"/>
        <v>0</v>
      </c>
      <c r="BL42" s="41">
        <f t="shared" si="84"/>
        <v>0</v>
      </c>
      <c r="BM42" s="41">
        <f t="shared" si="85"/>
        <v>0</v>
      </c>
      <c r="BN42" s="41">
        <f t="shared" si="86"/>
        <v>0</v>
      </c>
      <c r="BO42" s="41"/>
      <c r="BP42" s="41"/>
      <c r="BQ42" s="41"/>
      <c r="BR42" s="41"/>
      <c r="BS42" s="41"/>
      <c r="BT42" s="41"/>
      <c r="BU42" s="41"/>
      <c r="BV42" s="41"/>
      <c r="BX42" s="1">
        <v>0</v>
      </c>
      <c r="BY42" s="1">
        <v>0</v>
      </c>
      <c r="CA42" s="1">
        <v>0</v>
      </c>
      <c r="CB42" s="1">
        <v>0</v>
      </c>
      <c r="CC42" s="1">
        <v>0</v>
      </c>
      <c r="CD42" s="1">
        <v>0</v>
      </c>
      <c r="CE42" s="1">
        <v>0</v>
      </c>
    </row>
    <row r="43" spans="1:83">
      <c r="A43" s="37" t="s">
        <v>136</v>
      </c>
      <c r="B43" s="62"/>
      <c r="C43" s="41"/>
      <c r="D43" s="41"/>
      <c r="E43" s="41"/>
      <c r="F43" s="41"/>
      <c r="G43" s="41">
        <v>4</v>
      </c>
      <c r="H43" s="41"/>
      <c r="I43" s="41"/>
      <c r="J43" s="41">
        <v>8</v>
      </c>
      <c r="K43" s="41">
        <v>10</v>
      </c>
      <c r="L43" s="41">
        <v>12</v>
      </c>
      <c r="M43" s="41">
        <v>10</v>
      </c>
      <c r="N43" s="41">
        <v>14</v>
      </c>
      <c r="O43" s="41">
        <v>9</v>
      </c>
      <c r="P43" s="41">
        <v>10</v>
      </c>
      <c r="Q43" s="41">
        <v>11</v>
      </c>
      <c r="R43" s="41">
        <v>6</v>
      </c>
      <c r="S43" s="41">
        <v>9</v>
      </c>
      <c r="T43" s="41">
        <v>3</v>
      </c>
      <c r="U43" s="41">
        <v>13</v>
      </c>
      <c r="V43" s="41">
        <v>5</v>
      </c>
      <c r="W43" s="41">
        <v>12</v>
      </c>
      <c r="X43" s="41">
        <v>15</v>
      </c>
      <c r="Y43" s="41">
        <v>11</v>
      </c>
      <c r="Z43" s="41">
        <v>19</v>
      </c>
      <c r="AA43" s="41">
        <v>20</v>
      </c>
      <c r="AB43" s="41">
        <v>10</v>
      </c>
      <c r="AC43" s="41">
        <v>18</v>
      </c>
      <c r="AD43" s="41">
        <v>21</v>
      </c>
      <c r="AE43" s="1">
        <v>18</v>
      </c>
      <c r="AF43" s="1">
        <v>15</v>
      </c>
      <c r="AG43" s="1">
        <v>22</v>
      </c>
      <c r="AH43" s="1">
        <v>21</v>
      </c>
      <c r="AI43" s="62"/>
      <c r="AJ43" s="41"/>
      <c r="AK43" s="41"/>
      <c r="AL43" s="41"/>
      <c r="AM43" s="41"/>
      <c r="AN43" s="41"/>
      <c r="AO43" s="41"/>
      <c r="AP43" s="41"/>
      <c r="AQ43" s="41"/>
      <c r="AR43" s="41">
        <v>0</v>
      </c>
      <c r="AS43" s="41"/>
      <c r="AT43" s="41"/>
      <c r="AU43" s="62"/>
      <c r="AV43" s="41"/>
      <c r="AW43" s="41"/>
      <c r="AX43" s="41"/>
      <c r="AY43" s="41"/>
      <c r="AZ43" s="41"/>
      <c r="BA43" s="41"/>
      <c r="BB43" s="41"/>
      <c r="BC43" s="41">
        <v>0</v>
      </c>
      <c r="BD43" s="41"/>
      <c r="BE43" s="41"/>
      <c r="BF43" s="62">
        <f t="shared" si="78"/>
        <v>0</v>
      </c>
      <c r="BG43" s="41">
        <f t="shared" si="79"/>
        <v>0</v>
      </c>
      <c r="BH43" s="41">
        <f t="shared" si="80"/>
        <v>0</v>
      </c>
      <c r="BI43" s="41">
        <f t="shared" si="81"/>
        <v>0</v>
      </c>
      <c r="BJ43" s="41">
        <f t="shared" si="82"/>
        <v>0</v>
      </c>
      <c r="BK43" s="41">
        <f t="shared" si="83"/>
        <v>0</v>
      </c>
      <c r="BL43" s="41">
        <f t="shared" si="84"/>
        <v>0</v>
      </c>
      <c r="BM43" s="41">
        <f t="shared" si="85"/>
        <v>0</v>
      </c>
      <c r="BN43" s="41">
        <f t="shared" si="86"/>
        <v>0</v>
      </c>
      <c r="BO43" s="41"/>
      <c r="BP43" s="41"/>
      <c r="BQ43" s="41"/>
      <c r="BR43" s="41"/>
      <c r="BS43" s="41"/>
      <c r="BT43" s="41"/>
      <c r="BU43" s="41"/>
      <c r="BV43" s="41"/>
      <c r="BX43" s="1">
        <v>0</v>
      </c>
      <c r="BY43" s="1">
        <v>0</v>
      </c>
      <c r="CA43" s="1">
        <v>0</v>
      </c>
      <c r="CB43" s="1">
        <v>0</v>
      </c>
      <c r="CC43" s="1">
        <v>0</v>
      </c>
      <c r="CD43" s="1">
        <v>0</v>
      </c>
      <c r="CE43" s="1">
        <v>0</v>
      </c>
    </row>
    <row r="44" spans="1:83">
      <c r="A44" s="37" t="s">
        <v>139</v>
      </c>
      <c r="B44" s="62"/>
      <c r="C44" s="41"/>
      <c r="D44" s="41"/>
      <c r="E44" s="41"/>
      <c r="F44" s="41"/>
      <c r="G44" s="41">
        <v>61</v>
      </c>
      <c r="H44" s="41"/>
      <c r="I44" s="41"/>
      <c r="J44" s="41">
        <v>49</v>
      </c>
      <c r="K44" s="41">
        <v>47</v>
      </c>
      <c r="L44" s="41">
        <v>58</v>
      </c>
      <c r="M44" s="41">
        <v>84</v>
      </c>
      <c r="N44" s="41">
        <v>80</v>
      </c>
      <c r="O44" s="41">
        <v>75</v>
      </c>
      <c r="P44" s="41">
        <v>84</v>
      </c>
      <c r="Q44" s="41">
        <v>100</v>
      </c>
      <c r="R44" s="41">
        <v>113</v>
      </c>
      <c r="S44" s="41">
        <v>100</v>
      </c>
      <c r="T44" s="41">
        <v>88</v>
      </c>
      <c r="U44" s="41">
        <v>124</v>
      </c>
      <c r="V44" s="41">
        <v>120</v>
      </c>
      <c r="W44" s="41">
        <v>98</v>
      </c>
      <c r="X44" s="41">
        <v>126</v>
      </c>
      <c r="Y44" s="41">
        <v>103</v>
      </c>
      <c r="Z44" s="41">
        <v>116</v>
      </c>
      <c r="AA44" s="41">
        <v>129</v>
      </c>
      <c r="AB44" s="41">
        <v>107</v>
      </c>
      <c r="AC44" s="41">
        <v>131</v>
      </c>
      <c r="AD44" s="41">
        <v>119</v>
      </c>
      <c r="AE44" s="1">
        <v>119</v>
      </c>
      <c r="AF44" s="1">
        <v>147</v>
      </c>
      <c r="AG44" s="1">
        <v>112</v>
      </c>
      <c r="AH44" s="1">
        <v>135</v>
      </c>
      <c r="AI44" s="62"/>
      <c r="AJ44" s="41"/>
      <c r="AK44" s="41"/>
      <c r="AL44" s="41"/>
      <c r="AM44" s="41">
        <v>0</v>
      </c>
      <c r="AN44" s="41">
        <v>0</v>
      </c>
      <c r="AO44" s="41"/>
      <c r="AP44" s="41"/>
      <c r="AQ44" s="41"/>
      <c r="AR44" s="41">
        <v>0</v>
      </c>
      <c r="AS44" s="41"/>
      <c r="AT44" s="41"/>
      <c r="AU44" s="62"/>
      <c r="AV44" s="41"/>
      <c r="AW44" s="41"/>
      <c r="AX44" s="41"/>
      <c r="AY44" s="41">
        <v>0</v>
      </c>
      <c r="AZ44" s="41"/>
      <c r="BA44" s="41"/>
      <c r="BB44" s="41"/>
      <c r="BC44" s="41">
        <v>0</v>
      </c>
      <c r="BD44" s="41"/>
      <c r="BE44" s="41"/>
      <c r="BF44" s="62">
        <f t="shared" si="78"/>
        <v>0</v>
      </c>
      <c r="BG44" s="41">
        <f t="shared" si="79"/>
        <v>0</v>
      </c>
      <c r="BH44" s="41">
        <f t="shared" si="80"/>
        <v>0</v>
      </c>
      <c r="BI44" s="41">
        <f t="shared" si="81"/>
        <v>0</v>
      </c>
      <c r="BJ44" s="41">
        <f t="shared" si="82"/>
        <v>0</v>
      </c>
      <c r="BK44" s="41">
        <f t="shared" si="83"/>
        <v>0</v>
      </c>
      <c r="BL44" s="41">
        <f t="shared" si="84"/>
        <v>0</v>
      </c>
      <c r="BM44" s="41">
        <f t="shared" si="85"/>
        <v>0</v>
      </c>
      <c r="BN44" s="41">
        <f t="shared" si="86"/>
        <v>0</v>
      </c>
      <c r="BO44" s="41"/>
      <c r="BP44" s="41"/>
      <c r="BQ44" s="41"/>
      <c r="BR44" s="41">
        <v>1</v>
      </c>
      <c r="BS44" s="41"/>
      <c r="BT44" s="41"/>
      <c r="BU44" s="41"/>
      <c r="BV44" s="41"/>
      <c r="BX44" s="1">
        <v>0</v>
      </c>
      <c r="BY44" s="1">
        <v>0</v>
      </c>
      <c r="CA44" s="1">
        <v>0</v>
      </c>
      <c r="CB44" s="1">
        <v>0</v>
      </c>
      <c r="CC44" s="1">
        <v>0</v>
      </c>
      <c r="CD44" s="1">
        <v>0</v>
      </c>
      <c r="CE44" s="1">
        <v>0</v>
      </c>
    </row>
    <row r="45" spans="1:83">
      <c r="A45" s="37" t="s">
        <v>140</v>
      </c>
      <c r="B45" s="62"/>
      <c r="C45" s="41"/>
      <c r="D45" s="41"/>
      <c r="E45" s="41"/>
      <c r="F45" s="41"/>
      <c r="G45" s="41">
        <v>5</v>
      </c>
      <c r="H45" s="41"/>
      <c r="I45" s="41"/>
      <c r="J45" s="41">
        <v>4</v>
      </c>
      <c r="K45" s="41">
        <v>3</v>
      </c>
      <c r="L45" s="41">
        <v>26</v>
      </c>
      <c r="M45" s="41">
        <v>22</v>
      </c>
      <c r="N45" s="41">
        <v>39</v>
      </c>
      <c r="O45" s="41">
        <v>35</v>
      </c>
      <c r="P45" s="41">
        <v>20</v>
      </c>
      <c r="Q45" s="41">
        <v>28</v>
      </c>
      <c r="R45" s="41">
        <v>60</v>
      </c>
      <c r="S45" s="41">
        <v>68</v>
      </c>
      <c r="T45" s="41">
        <v>69</v>
      </c>
      <c r="U45" s="41">
        <v>74</v>
      </c>
      <c r="V45" s="41">
        <v>197</v>
      </c>
      <c r="W45" s="41">
        <v>213</v>
      </c>
      <c r="X45" s="41">
        <v>238</v>
      </c>
      <c r="Y45" s="41">
        <v>316</v>
      </c>
      <c r="Z45" s="41">
        <v>247</v>
      </c>
      <c r="AA45" s="41">
        <v>25</v>
      </c>
      <c r="AB45" s="41">
        <v>28</v>
      </c>
      <c r="AC45" s="41">
        <v>28</v>
      </c>
      <c r="AD45" s="41">
        <v>30</v>
      </c>
      <c r="AE45" s="1">
        <v>27</v>
      </c>
      <c r="AF45" s="1">
        <v>36</v>
      </c>
      <c r="AG45" s="1">
        <v>38</v>
      </c>
      <c r="AH45" s="1">
        <v>43</v>
      </c>
      <c r="AI45" s="62"/>
      <c r="AJ45" s="41"/>
      <c r="AK45" s="41"/>
      <c r="AL45" s="41"/>
      <c r="AM45" s="41"/>
      <c r="AN45" s="41"/>
      <c r="AO45" s="41"/>
      <c r="AP45" s="41"/>
      <c r="AQ45" s="41"/>
      <c r="AR45" s="41">
        <v>0</v>
      </c>
      <c r="AS45" s="41"/>
      <c r="AT45" s="41"/>
      <c r="AU45" s="62"/>
      <c r="AV45" s="41"/>
      <c r="AW45" s="41"/>
      <c r="AX45" s="41"/>
      <c r="AY45" s="41"/>
      <c r="AZ45" s="41"/>
      <c r="BA45" s="41"/>
      <c r="BB45" s="41"/>
      <c r="BC45" s="41">
        <v>0</v>
      </c>
      <c r="BD45" s="41"/>
      <c r="BE45" s="41"/>
      <c r="BF45" s="62">
        <f t="shared" si="78"/>
        <v>0</v>
      </c>
      <c r="BG45" s="41">
        <f t="shared" si="79"/>
        <v>0</v>
      </c>
      <c r="BH45" s="41">
        <f t="shared" si="80"/>
        <v>0</v>
      </c>
      <c r="BI45" s="41">
        <f t="shared" si="81"/>
        <v>0</v>
      </c>
      <c r="BJ45" s="41">
        <f t="shared" si="82"/>
        <v>0</v>
      </c>
      <c r="BK45" s="41">
        <f t="shared" si="83"/>
        <v>0</v>
      </c>
      <c r="BL45" s="41">
        <f t="shared" si="84"/>
        <v>0</v>
      </c>
      <c r="BM45" s="41">
        <f t="shared" si="85"/>
        <v>0</v>
      </c>
      <c r="BN45" s="41">
        <f t="shared" si="86"/>
        <v>0</v>
      </c>
      <c r="BO45" s="41"/>
      <c r="BP45" s="41"/>
      <c r="BQ45" s="41"/>
      <c r="BR45" s="41"/>
      <c r="BS45" s="41"/>
      <c r="BT45" s="41"/>
      <c r="BU45" s="41"/>
      <c r="BV45" s="41"/>
      <c r="BX45" s="1">
        <v>0</v>
      </c>
      <c r="BY45" s="1">
        <v>0</v>
      </c>
      <c r="BZ45" s="1">
        <v>5</v>
      </c>
      <c r="CA45" s="1">
        <v>0</v>
      </c>
      <c r="CB45" s="1">
        <v>0</v>
      </c>
      <c r="CC45" s="1">
        <v>0</v>
      </c>
      <c r="CD45" s="1">
        <v>0</v>
      </c>
      <c r="CE45" s="1">
        <v>0</v>
      </c>
    </row>
    <row r="46" spans="1:83">
      <c r="A46" s="37" t="s">
        <v>141</v>
      </c>
      <c r="B46" s="62"/>
      <c r="C46" s="41"/>
      <c r="D46" s="41"/>
      <c r="E46" s="41"/>
      <c r="F46" s="41"/>
      <c r="G46" s="41">
        <v>23</v>
      </c>
      <c r="H46" s="41"/>
      <c r="I46" s="41"/>
      <c r="J46" s="41">
        <v>15</v>
      </c>
      <c r="K46" s="41">
        <v>23</v>
      </c>
      <c r="L46" s="41">
        <v>28</v>
      </c>
      <c r="M46" s="41">
        <v>18</v>
      </c>
      <c r="N46" s="41">
        <v>25</v>
      </c>
      <c r="O46" s="41">
        <v>28</v>
      </c>
      <c r="P46" s="41">
        <v>36</v>
      </c>
      <c r="Q46" s="41">
        <v>31</v>
      </c>
      <c r="R46" s="41">
        <v>35</v>
      </c>
      <c r="S46" s="41">
        <v>50</v>
      </c>
      <c r="T46" s="41">
        <v>46</v>
      </c>
      <c r="U46" s="41">
        <v>52</v>
      </c>
      <c r="V46" s="41">
        <v>49</v>
      </c>
      <c r="W46" s="41">
        <v>52</v>
      </c>
      <c r="X46" s="41">
        <v>64</v>
      </c>
      <c r="Y46" s="41">
        <v>49</v>
      </c>
      <c r="Z46" s="41">
        <v>59</v>
      </c>
      <c r="AA46" s="41">
        <v>79</v>
      </c>
      <c r="AB46" s="41">
        <v>56</v>
      </c>
      <c r="AC46" s="41">
        <v>95</v>
      </c>
      <c r="AD46" s="41">
        <v>96</v>
      </c>
      <c r="AE46" s="1">
        <v>100</v>
      </c>
      <c r="AF46" s="1">
        <v>130</v>
      </c>
      <c r="AG46" s="1">
        <v>132</v>
      </c>
      <c r="AH46" s="1">
        <v>144</v>
      </c>
      <c r="AI46" s="62"/>
      <c r="AJ46" s="41"/>
      <c r="AK46" s="41"/>
      <c r="AL46" s="41"/>
      <c r="AM46" s="41">
        <v>0</v>
      </c>
      <c r="AN46" s="41">
        <v>0</v>
      </c>
      <c r="AO46" s="41"/>
      <c r="AP46" s="41"/>
      <c r="AQ46" s="41"/>
      <c r="AR46" s="41">
        <v>0</v>
      </c>
      <c r="AS46" s="41"/>
      <c r="AT46" s="41"/>
      <c r="AU46" s="62"/>
      <c r="AV46" s="41"/>
      <c r="AW46" s="41"/>
      <c r="AX46" s="41">
        <v>0</v>
      </c>
      <c r="AY46" s="41">
        <v>0</v>
      </c>
      <c r="AZ46" s="41"/>
      <c r="BA46" s="41"/>
      <c r="BB46" s="41"/>
      <c r="BC46" s="41">
        <v>0</v>
      </c>
      <c r="BD46" s="41">
        <v>0</v>
      </c>
      <c r="BE46" s="41"/>
      <c r="BF46" s="62">
        <f t="shared" si="78"/>
        <v>0</v>
      </c>
      <c r="BG46" s="41">
        <f t="shared" si="79"/>
        <v>0</v>
      </c>
      <c r="BH46" s="41">
        <f t="shared" si="80"/>
        <v>0</v>
      </c>
      <c r="BI46" s="41">
        <f t="shared" si="81"/>
        <v>0</v>
      </c>
      <c r="BJ46" s="41">
        <f t="shared" si="82"/>
        <v>0</v>
      </c>
      <c r="BK46" s="41">
        <f t="shared" si="83"/>
        <v>0</v>
      </c>
      <c r="BL46" s="41">
        <f t="shared" si="84"/>
        <v>0</v>
      </c>
      <c r="BM46" s="41">
        <f t="shared" si="85"/>
        <v>0</v>
      </c>
      <c r="BN46" s="41">
        <f t="shared" si="86"/>
        <v>0</v>
      </c>
      <c r="BO46" s="41"/>
      <c r="BP46" s="41"/>
      <c r="BQ46" s="41"/>
      <c r="BR46" s="41"/>
      <c r="BS46" s="41"/>
      <c r="BT46" s="41"/>
      <c r="BU46" s="41"/>
      <c r="BV46" s="41"/>
      <c r="BX46" s="1">
        <v>0</v>
      </c>
      <c r="BY46" s="1">
        <v>0</v>
      </c>
      <c r="CA46" s="1">
        <v>0</v>
      </c>
      <c r="CB46" s="1">
        <v>0</v>
      </c>
      <c r="CC46" s="1">
        <v>0</v>
      </c>
      <c r="CD46" s="1">
        <v>0</v>
      </c>
      <c r="CE46" s="1">
        <v>0</v>
      </c>
    </row>
    <row r="47" spans="1:83">
      <c r="A47" s="37" t="s">
        <v>144</v>
      </c>
      <c r="B47" s="62"/>
      <c r="C47" s="41"/>
      <c r="D47" s="41"/>
      <c r="E47" s="41"/>
      <c r="F47" s="41"/>
      <c r="G47" s="41">
        <v>3</v>
      </c>
      <c r="H47" s="41"/>
      <c r="I47" s="41"/>
      <c r="J47" s="41">
        <v>2</v>
      </c>
      <c r="K47" s="41">
        <v>1</v>
      </c>
      <c r="L47" s="41">
        <v>3</v>
      </c>
      <c r="M47" s="41">
        <v>3</v>
      </c>
      <c r="N47" s="41">
        <v>10</v>
      </c>
      <c r="O47" s="41">
        <v>8</v>
      </c>
      <c r="P47" s="41">
        <v>7</v>
      </c>
      <c r="Q47" s="41">
        <v>6</v>
      </c>
      <c r="R47" s="41">
        <v>15</v>
      </c>
      <c r="S47" s="41">
        <v>10</v>
      </c>
      <c r="T47" s="41">
        <v>19</v>
      </c>
      <c r="U47" s="41">
        <v>9</v>
      </c>
      <c r="V47" s="41">
        <v>8</v>
      </c>
      <c r="W47" s="41">
        <v>10</v>
      </c>
      <c r="X47" s="41">
        <v>11</v>
      </c>
      <c r="Y47" s="41">
        <v>17</v>
      </c>
      <c r="Z47" s="41">
        <v>12</v>
      </c>
      <c r="AA47" s="41">
        <v>12</v>
      </c>
      <c r="AB47" s="41">
        <v>7</v>
      </c>
      <c r="AC47" s="41">
        <v>9</v>
      </c>
      <c r="AD47" s="41">
        <v>7</v>
      </c>
      <c r="AE47" s="1">
        <v>13</v>
      </c>
      <c r="AF47" s="1">
        <v>8</v>
      </c>
      <c r="AG47" s="1">
        <v>18</v>
      </c>
      <c r="AH47" s="1">
        <v>10</v>
      </c>
      <c r="AI47" s="62"/>
      <c r="AJ47" s="41"/>
      <c r="AK47" s="41"/>
      <c r="AL47" s="41"/>
      <c r="AM47" s="41"/>
      <c r="AN47" s="41"/>
      <c r="AO47" s="41"/>
      <c r="AP47" s="41"/>
      <c r="AQ47" s="41"/>
      <c r="AR47" s="41">
        <v>0</v>
      </c>
      <c r="AS47" s="41"/>
      <c r="AT47" s="41"/>
      <c r="AU47" s="62"/>
      <c r="AV47" s="41"/>
      <c r="AW47" s="41"/>
      <c r="AX47" s="41"/>
      <c r="AY47" s="41"/>
      <c r="AZ47" s="41"/>
      <c r="BA47" s="41"/>
      <c r="BB47" s="41"/>
      <c r="BC47" s="41">
        <v>0</v>
      </c>
      <c r="BD47" s="41"/>
      <c r="BE47" s="41"/>
      <c r="BF47" s="62">
        <f t="shared" si="78"/>
        <v>0</v>
      </c>
      <c r="BG47" s="41">
        <f t="shared" si="79"/>
        <v>0</v>
      </c>
      <c r="BH47" s="41">
        <f t="shared" si="80"/>
        <v>0</v>
      </c>
      <c r="BI47" s="41">
        <f t="shared" si="81"/>
        <v>0</v>
      </c>
      <c r="BJ47" s="41">
        <f t="shared" si="82"/>
        <v>0</v>
      </c>
      <c r="BK47" s="41">
        <f t="shared" si="83"/>
        <v>0</v>
      </c>
      <c r="BL47" s="41">
        <f t="shared" si="84"/>
        <v>0</v>
      </c>
      <c r="BM47" s="41">
        <f t="shared" si="85"/>
        <v>0</v>
      </c>
      <c r="BN47" s="41">
        <f t="shared" si="86"/>
        <v>0</v>
      </c>
      <c r="BO47" s="41"/>
      <c r="BP47" s="41"/>
      <c r="BQ47" s="41"/>
      <c r="BR47" s="41"/>
      <c r="BS47" s="41"/>
      <c r="BT47" s="41"/>
      <c r="BU47" s="41"/>
      <c r="BV47" s="41"/>
      <c r="BX47" s="1">
        <v>0</v>
      </c>
      <c r="BY47" s="1">
        <v>0</v>
      </c>
      <c r="CA47" s="1">
        <v>0</v>
      </c>
      <c r="CB47" s="1">
        <v>0</v>
      </c>
      <c r="CC47" s="1">
        <v>0</v>
      </c>
      <c r="CD47" s="1">
        <v>0</v>
      </c>
      <c r="CE47" s="1">
        <v>0</v>
      </c>
    </row>
    <row r="48" spans="1:83">
      <c r="A48" s="37" t="s">
        <v>143</v>
      </c>
      <c r="B48" s="62"/>
      <c r="C48" s="41"/>
      <c r="D48" s="41"/>
      <c r="E48" s="41"/>
      <c r="F48" s="41"/>
      <c r="G48" s="41">
        <v>2</v>
      </c>
      <c r="H48" s="41"/>
      <c r="I48" s="41"/>
      <c r="J48" s="41">
        <v>0</v>
      </c>
      <c r="K48" s="41">
        <v>0</v>
      </c>
      <c r="L48" s="41">
        <v>0</v>
      </c>
      <c r="M48" s="41">
        <v>1</v>
      </c>
      <c r="N48" s="41">
        <v>0</v>
      </c>
      <c r="O48" s="41">
        <v>1</v>
      </c>
      <c r="P48" s="41">
        <v>1</v>
      </c>
      <c r="Q48" s="41">
        <v>1</v>
      </c>
      <c r="R48" s="41">
        <v>1</v>
      </c>
      <c r="S48" s="41">
        <v>2</v>
      </c>
      <c r="T48" s="41">
        <v>3</v>
      </c>
      <c r="U48" s="41">
        <v>2</v>
      </c>
      <c r="V48" s="41">
        <v>1</v>
      </c>
      <c r="W48" s="41">
        <v>4</v>
      </c>
      <c r="X48" s="41">
        <v>3</v>
      </c>
      <c r="Y48" s="41">
        <v>3</v>
      </c>
      <c r="Z48" s="41">
        <v>2</v>
      </c>
      <c r="AA48" s="41">
        <v>2</v>
      </c>
      <c r="AB48" s="41">
        <v>5</v>
      </c>
      <c r="AC48" s="41">
        <v>2</v>
      </c>
      <c r="AD48" s="41">
        <v>3</v>
      </c>
      <c r="AE48" s="1">
        <v>6</v>
      </c>
      <c r="AF48" s="1">
        <v>3</v>
      </c>
      <c r="AG48" s="1">
        <v>5</v>
      </c>
      <c r="AH48" s="1">
        <v>9</v>
      </c>
      <c r="AI48" s="62"/>
      <c r="AJ48" s="41"/>
      <c r="AK48" s="41"/>
      <c r="AL48" s="41"/>
      <c r="AM48" s="41"/>
      <c r="AN48" s="41"/>
      <c r="AO48" s="41"/>
      <c r="AP48" s="41"/>
      <c r="AQ48" s="41"/>
      <c r="AR48" s="41">
        <v>0</v>
      </c>
      <c r="AS48" s="41"/>
      <c r="AT48" s="41"/>
      <c r="AU48" s="62"/>
      <c r="AV48" s="41"/>
      <c r="AW48" s="41"/>
      <c r="AX48" s="41"/>
      <c r="AY48" s="41"/>
      <c r="AZ48" s="41"/>
      <c r="BA48" s="41"/>
      <c r="BB48" s="41"/>
      <c r="BC48" s="41">
        <v>0</v>
      </c>
      <c r="BD48" s="41"/>
      <c r="BE48" s="41"/>
      <c r="BF48" s="62">
        <f t="shared" si="78"/>
        <v>0</v>
      </c>
      <c r="BG48" s="41">
        <f t="shared" si="79"/>
        <v>0</v>
      </c>
      <c r="BH48" s="41">
        <f t="shared" si="80"/>
        <v>0</v>
      </c>
      <c r="BI48" s="41">
        <f t="shared" si="81"/>
        <v>0</v>
      </c>
      <c r="BJ48" s="41">
        <f t="shared" si="82"/>
        <v>0</v>
      </c>
      <c r="BK48" s="41">
        <f t="shared" si="83"/>
        <v>0</v>
      </c>
      <c r="BL48" s="41">
        <f t="shared" si="84"/>
        <v>0</v>
      </c>
      <c r="BM48" s="41">
        <f t="shared" si="85"/>
        <v>0</v>
      </c>
      <c r="BN48" s="41">
        <f t="shared" si="86"/>
        <v>0</v>
      </c>
      <c r="BO48" s="41"/>
      <c r="BP48" s="41"/>
      <c r="BQ48" s="41"/>
      <c r="BR48" s="41"/>
      <c r="BS48" s="41"/>
      <c r="BT48" s="41"/>
      <c r="BU48" s="41"/>
      <c r="BV48" s="41"/>
      <c r="BX48" s="1">
        <v>0</v>
      </c>
      <c r="BY48" s="1">
        <v>0</v>
      </c>
      <c r="CA48" s="1">
        <v>0</v>
      </c>
      <c r="CB48" s="1">
        <v>0</v>
      </c>
      <c r="CC48" s="1">
        <v>0</v>
      </c>
      <c r="CD48" s="1">
        <v>0</v>
      </c>
      <c r="CE48" s="1">
        <v>0</v>
      </c>
    </row>
    <row r="49" spans="1:83">
      <c r="A49" s="37" t="s">
        <v>150</v>
      </c>
      <c r="B49" s="62"/>
      <c r="C49" s="41"/>
      <c r="D49" s="41"/>
      <c r="E49" s="41"/>
      <c r="F49" s="41"/>
      <c r="G49" s="41">
        <v>65</v>
      </c>
      <c r="H49" s="41"/>
      <c r="I49" s="41"/>
      <c r="J49" s="41">
        <v>83</v>
      </c>
      <c r="K49" s="41">
        <v>105</v>
      </c>
      <c r="L49" s="41">
        <v>122</v>
      </c>
      <c r="M49" s="41">
        <v>141</v>
      </c>
      <c r="N49" s="41">
        <v>168</v>
      </c>
      <c r="O49" s="41">
        <v>159</v>
      </c>
      <c r="P49" s="41">
        <v>174</v>
      </c>
      <c r="Q49" s="41">
        <v>182</v>
      </c>
      <c r="R49" s="41">
        <v>128</v>
      </c>
      <c r="S49" s="41">
        <v>148</v>
      </c>
      <c r="T49" s="41">
        <v>135</v>
      </c>
      <c r="U49" s="41">
        <v>100</v>
      </c>
      <c r="V49" s="41">
        <v>157</v>
      </c>
      <c r="W49" s="41">
        <v>161</v>
      </c>
      <c r="X49" s="41">
        <v>120</v>
      </c>
      <c r="Y49" s="41">
        <v>115</v>
      </c>
      <c r="Z49" s="41">
        <v>109</v>
      </c>
      <c r="AA49" s="41">
        <v>103</v>
      </c>
      <c r="AB49" s="41">
        <v>96</v>
      </c>
      <c r="AC49" s="41">
        <v>97</v>
      </c>
      <c r="AD49" s="41">
        <v>88</v>
      </c>
      <c r="AE49" s="1">
        <v>85</v>
      </c>
      <c r="AF49" s="1">
        <v>74</v>
      </c>
      <c r="AG49" s="1">
        <v>101</v>
      </c>
      <c r="AH49" s="1">
        <v>101</v>
      </c>
      <c r="AI49" s="62"/>
      <c r="AJ49" s="41"/>
      <c r="AK49" s="41"/>
      <c r="AL49" s="41"/>
      <c r="AM49" s="41">
        <v>0</v>
      </c>
      <c r="AN49" s="41">
        <v>0</v>
      </c>
      <c r="AO49" s="41"/>
      <c r="AP49" s="41"/>
      <c r="AQ49" s="41"/>
      <c r="AR49" s="41">
        <v>0</v>
      </c>
      <c r="AS49" s="41"/>
      <c r="AT49" s="41"/>
      <c r="AU49" s="62"/>
      <c r="AV49" s="41"/>
      <c r="AW49" s="41"/>
      <c r="AX49" s="41">
        <v>0</v>
      </c>
      <c r="AY49" s="41">
        <v>0</v>
      </c>
      <c r="AZ49" s="41"/>
      <c r="BA49" s="41"/>
      <c r="BB49" s="41"/>
      <c r="BC49" s="41">
        <v>0</v>
      </c>
      <c r="BD49" s="41"/>
      <c r="BE49" s="41"/>
      <c r="BF49" s="62">
        <f t="shared" si="78"/>
        <v>0</v>
      </c>
      <c r="BG49" s="41">
        <f t="shared" si="79"/>
        <v>0</v>
      </c>
      <c r="BH49" s="41">
        <f t="shared" si="80"/>
        <v>0</v>
      </c>
      <c r="BI49" s="41">
        <f t="shared" si="81"/>
        <v>0</v>
      </c>
      <c r="BJ49" s="41">
        <f t="shared" si="82"/>
        <v>0</v>
      </c>
      <c r="BK49" s="41">
        <f t="shared" si="83"/>
        <v>0</v>
      </c>
      <c r="BL49" s="41">
        <f t="shared" si="84"/>
        <v>0</v>
      </c>
      <c r="BM49" s="41">
        <f t="shared" si="85"/>
        <v>0</v>
      </c>
      <c r="BN49" s="41">
        <f t="shared" si="86"/>
        <v>0</v>
      </c>
      <c r="BO49" s="41"/>
      <c r="BP49" s="41"/>
      <c r="BQ49" s="41"/>
      <c r="BR49" s="41">
        <v>31</v>
      </c>
      <c r="BS49" s="41"/>
      <c r="BT49" s="41">
        <v>45</v>
      </c>
      <c r="BU49" s="41"/>
      <c r="BV49" s="41"/>
      <c r="BX49" s="1">
        <v>0</v>
      </c>
      <c r="BY49" s="1">
        <v>0</v>
      </c>
      <c r="CA49" s="1">
        <v>0</v>
      </c>
      <c r="CB49" s="1">
        <v>0</v>
      </c>
      <c r="CC49" s="1">
        <v>0</v>
      </c>
      <c r="CD49" s="1">
        <v>0</v>
      </c>
      <c r="CE49" s="1">
        <v>4</v>
      </c>
    </row>
    <row r="50" spans="1:83">
      <c r="A50" s="37" t="s">
        <v>154</v>
      </c>
      <c r="B50" s="62"/>
      <c r="C50" s="41"/>
      <c r="D50" s="41"/>
      <c r="E50" s="41"/>
      <c r="F50" s="41"/>
      <c r="G50" s="41">
        <v>0</v>
      </c>
      <c r="H50" s="41"/>
      <c r="I50" s="41"/>
      <c r="J50" s="41">
        <v>2</v>
      </c>
      <c r="K50" s="41">
        <v>2</v>
      </c>
      <c r="L50" s="41">
        <v>0</v>
      </c>
      <c r="M50" s="41">
        <v>0</v>
      </c>
      <c r="N50" s="41">
        <v>1</v>
      </c>
      <c r="O50" s="41">
        <v>4</v>
      </c>
      <c r="P50" s="41">
        <v>0</v>
      </c>
      <c r="Q50" s="41">
        <v>3</v>
      </c>
      <c r="R50" s="41">
        <v>1</v>
      </c>
      <c r="S50" s="41">
        <v>2</v>
      </c>
      <c r="T50" s="41">
        <v>0</v>
      </c>
      <c r="U50" s="41">
        <v>1</v>
      </c>
      <c r="V50" s="41">
        <v>0</v>
      </c>
      <c r="W50" s="41">
        <v>2</v>
      </c>
      <c r="X50" s="41">
        <v>1</v>
      </c>
      <c r="Y50" s="41">
        <v>2</v>
      </c>
      <c r="Z50" s="41">
        <v>0</v>
      </c>
      <c r="AA50" s="41">
        <v>1</v>
      </c>
      <c r="AB50" s="41">
        <v>0</v>
      </c>
      <c r="AC50" s="41">
        <v>1</v>
      </c>
      <c r="AD50" s="41">
        <v>3</v>
      </c>
      <c r="AE50" s="1">
        <v>1</v>
      </c>
      <c r="AF50" s="1">
        <v>5</v>
      </c>
      <c r="AG50" s="1">
        <v>6</v>
      </c>
      <c r="AH50" s="1">
        <v>4</v>
      </c>
      <c r="AI50" s="62"/>
      <c r="AJ50" s="41"/>
      <c r="AK50" s="41"/>
      <c r="AL50" s="41"/>
      <c r="AM50" s="41"/>
      <c r="AN50" s="41"/>
      <c r="AO50" s="41"/>
      <c r="AP50" s="41"/>
      <c r="AQ50" s="41"/>
      <c r="AR50" s="41">
        <v>0</v>
      </c>
      <c r="AS50" s="41"/>
      <c r="AT50" s="41"/>
      <c r="AU50" s="62"/>
      <c r="AV50" s="41"/>
      <c r="AW50" s="41"/>
      <c r="AX50" s="41"/>
      <c r="AY50" s="41"/>
      <c r="AZ50" s="41"/>
      <c r="BA50" s="41"/>
      <c r="BB50" s="41"/>
      <c r="BC50" s="41">
        <v>0</v>
      </c>
      <c r="BD50" s="41"/>
      <c r="BE50" s="41"/>
      <c r="BF50" s="62">
        <f t="shared" si="78"/>
        <v>0</v>
      </c>
      <c r="BG50" s="41">
        <f t="shared" si="79"/>
        <v>0</v>
      </c>
      <c r="BH50" s="41">
        <f t="shared" si="80"/>
        <v>0</v>
      </c>
      <c r="BI50" s="41">
        <f t="shared" si="81"/>
        <v>0</v>
      </c>
      <c r="BJ50" s="41">
        <f t="shared" si="82"/>
        <v>0</v>
      </c>
      <c r="BK50" s="41">
        <f t="shared" si="83"/>
        <v>0</v>
      </c>
      <c r="BL50" s="41">
        <f t="shared" si="84"/>
        <v>0</v>
      </c>
      <c r="BM50" s="41">
        <f t="shared" si="85"/>
        <v>0</v>
      </c>
      <c r="BN50" s="41">
        <f t="shared" si="86"/>
        <v>0</v>
      </c>
      <c r="BO50" s="41"/>
      <c r="BP50" s="41"/>
      <c r="BQ50" s="41"/>
      <c r="BR50" s="41"/>
      <c r="BS50" s="41"/>
      <c r="BT50" s="41"/>
      <c r="BU50" s="41"/>
      <c r="BV50" s="41"/>
      <c r="BX50" s="1">
        <v>0</v>
      </c>
      <c r="BY50" s="1">
        <v>0</v>
      </c>
      <c r="CA50" s="1">
        <v>0</v>
      </c>
      <c r="CB50" s="1">
        <v>0</v>
      </c>
      <c r="CC50" s="1">
        <v>0</v>
      </c>
      <c r="CD50" s="1">
        <v>0</v>
      </c>
      <c r="CE50" s="1">
        <v>0</v>
      </c>
    </row>
    <row r="51" spans="1:83">
      <c r="A51" s="42" t="s">
        <v>157</v>
      </c>
      <c r="B51" s="63"/>
      <c r="C51" s="43"/>
      <c r="D51" s="43"/>
      <c r="E51" s="43"/>
      <c r="F51" s="43"/>
      <c r="G51" s="43">
        <v>10</v>
      </c>
      <c r="H51" s="43"/>
      <c r="I51" s="43"/>
      <c r="J51" s="43">
        <v>9</v>
      </c>
      <c r="K51" s="43">
        <v>15</v>
      </c>
      <c r="L51" s="43">
        <v>15</v>
      </c>
      <c r="M51" s="43">
        <v>11</v>
      </c>
      <c r="N51" s="43">
        <v>7</v>
      </c>
      <c r="O51" s="43">
        <v>21</v>
      </c>
      <c r="P51" s="43">
        <v>13</v>
      </c>
      <c r="Q51" s="43">
        <v>12</v>
      </c>
      <c r="R51" s="43">
        <v>26</v>
      </c>
      <c r="S51" s="43">
        <v>15</v>
      </c>
      <c r="T51" s="43">
        <v>21</v>
      </c>
      <c r="U51" s="43">
        <v>23</v>
      </c>
      <c r="V51" s="43">
        <v>31</v>
      </c>
      <c r="W51" s="43">
        <v>28</v>
      </c>
      <c r="X51" s="43">
        <v>39</v>
      </c>
      <c r="Y51" s="43">
        <v>22</v>
      </c>
      <c r="Z51" s="43">
        <v>25</v>
      </c>
      <c r="AA51" s="43">
        <v>32</v>
      </c>
      <c r="AB51" s="43">
        <v>37</v>
      </c>
      <c r="AC51" s="43">
        <v>45</v>
      </c>
      <c r="AD51" s="43">
        <v>20</v>
      </c>
      <c r="AE51" s="1">
        <v>37</v>
      </c>
      <c r="AF51" s="1">
        <v>46</v>
      </c>
      <c r="AG51" s="1">
        <v>42</v>
      </c>
      <c r="AH51" s="1">
        <v>29</v>
      </c>
      <c r="AI51" s="63"/>
      <c r="AJ51" s="43"/>
      <c r="AK51" s="43"/>
      <c r="AL51" s="43"/>
      <c r="AM51" s="43"/>
      <c r="AN51" s="43"/>
      <c r="AO51" s="43"/>
      <c r="AP51" s="43"/>
      <c r="AQ51" s="43"/>
      <c r="AR51" s="43">
        <v>0</v>
      </c>
      <c r="AS51" s="43"/>
      <c r="AT51" s="43"/>
      <c r="AU51" s="63"/>
      <c r="AV51" s="43"/>
      <c r="AW51" s="43"/>
      <c r="AX51" s="43"/>
      <c r="AY51" s="43"/>
      <c r="AZ51" s="43"/>
      <c r="BA51" s="43"/>
      <c r="BB51" s="43"/>
      <c r="BC51" s="43">
        <v>0</v>
      </c>
      <c r="BD51" s="43"/>
      <c r="BE51" s="43"/>
      <c r="BF51" s="63">
        <f t="shared" si="78"/>
        <v>0</v>
      </c>
      <c r="BG51" s="43">
        <f t="shared" si="79"/>
        <v>0</v>
      </c>
      <c r="BH51" s="43">
        <f t="shared" si="80"/>
        <v>0</v>
      </c>
      <c r="BI51" s="43">
        <f t="shared" si="81"/>
        <v>0</v>
      </c>
      <c r="BJ51" s="43">
        <f t="shared" si="82"/>
        <v>0</v>
      </c>
      <c r="BK51" s="43">
        <f t="shared" si="83"/>
        <v>0</v>
      </c>
      <c r="BL51" s="43">
        <f t="shared" si="84"/>
        <v>0</v>
      </c>
      <c r="BM51" s="43">
        <f t="shared" si="85"/>
        <v>0</v>
      </c>
      <c r="BN51" s="43">
        <f t="shared" si="86"/>
        <v>0</v>
      </c>
      <c r="BO51" s="43"/>
      <c r="BP51" s="43"/>
      <c r="BQ51" s="43"/>
      <c r="BR51" s="43"/>
      <c r="BS51" s="43"/>
      <c r="BT51" s="43"/>
      <c r="BU51" s="43"/>
      <c r="BV51" s="43"/>
      <c r="BX51" s="6">
        <v>0</v>
      </c>
      <c r="BY51" s="1">
        <v>0</v>
      </c>
      <c r="CA51" s="1">
        <v>0</v>
      </c>
      <c r="CB51" s="1">
        <v>0</v>
      </c>
      <c r="CC51" s="1">
        <v>0</v>
      </c>
      <c r="CD51" s="1">
        <v>0</v>
      </c>
      <c r="CE51" s="1">
        <v>0</v>
      </c>
    </row>
    <row r="52" spans="1:83">
      <c r="A52" s="37" t="s">
        <v>212</v>
      </c>
      <c r="B52" s="60">
        <f t="shared" ref="B52:BU52" si="87">SUM(B54:B62)</f>
        <v>0</v>
      </c>
      <c r="C52" s="38">
        <f t="shared" si="87"/>
        <v>0</v>
      </c>
      <c r="D52" s="38">
        <f t="shared" si="87"/>
        <v>0</v>
      </c>
      <c r="E52" s="38">
        <f t="shared" si="87"/>
        <v>0</v>
      </c>
      <c r="F52" s="38">
        <f t="shared" si="87"/>
        <v>0</v>
      </c>
      <c r="G52" s="38">
        <f t="shared" si="87"/>
        <v>190</v>
      </c>
      <c r="H52" s="38">
        <f t="shared" si="87"/>
        <v>0</v>
      </c>
      <c r="I52" s="38">
        <f t="shared" si="87"/>
        <v>0</v>
      </c>
      <c r="J52" s="38">
        <f t="shared" si="87"/>
        <v>242</v>
      </c>
      <c r="K52" s="38">
        <f t="shared" si="87"/>
        <v>266</v>
      </c>
      <c r="L52" s="38">
        <f t="shared" si="87"/>
        <v>250</v>
      </c>
      <c r="M52" s="38">
        <f t="shared" si="87"/>
        <v>317</v>
      </c>
      <c r="N52" s="38">
        <f t="shared" si="87"/>
        <v>234</v>
      </c>
      <c r="O52" s="38">
        <f t="shared" si="87"/>
        <v>313</v>
      </c>
      <c r="P52" s="38">
        <f t="shared" si="87"/>
        <v>349</v>
      </c>
      <c r="Q52" s="38">
        <f t="shared" si="87"/>
        <v>356</v>
      </c>
      <c r="R52" s="38">
        <f t="shared" si="87"/>
        <v>359</v>
      </c>
      <c r="S52" s="38">
        <f t="shared" si="87"/>
        <v>460</v>
      </c>
      <c r="T52" s="38">
        <f t="shared" si="87"/>
        <v>420</v>
      </c>
      <c r="U52" s="38">
        <f t="shared" si="87"/>
        <v>463</v>
      </c>
      <c r="V52" s="38">
        <f t="shared" si="87"/>
        <v>474</v>
      </c>
      <c r="W52" s="38">
        <f t="shared" si="87"/>
        <v>492</v>
      </c>
      <c r="X52" s="38">
        <f t="shared" si="87"/>
        <v>493</v>
      </c>
      <c r="Y52" s="38">
        <f t="shared" ref="Y52:Z52" si="88">SUM(Y54:Y62)</f>
        <v>434</v>
      </c>
      <c r="Z52" s="38">
        <f t="shared" si="88"/>
        <v>438</v>
      </c>
      <c r="AA52" s="38">
        <f t="shared" ref="AA52:AB52" si="89">SUM(AA54:AA62)</f>
        <v>489</v>
      </c>
      <c r="AB52" s="38">
        <f t="shared" si="89"/>
        <v>534</v>
      </c>
      <c r="AC52" s="38">
        <f t="shared" ref="AC52:AD52" si="90">SUM(AC54:AC62)</f>
        <v>492</v>
      </c>
      <c r="AD52" s="38">
        <f t="shared" si="90"/>
        <v>501</v>
      </c>
      <c r="AE52" s="38">
        <f t="shared" ref="AE52:AF52" si="91">SUM(AE54:AE62)</f>
        <v>556</v>
      </c>
      <c r="AF52" s="38">
        <f t="shared" si="91"/>
        <v>620</v>
      </c>
      <c r="AG52" s="38">
        <f t="shared" ref="AG52:AH52" si="92">SUM(AG54:AG62)</f>
        <v>640</v>
      </c>
      <c r="AH52" s="38">
        <f t="shared" si="92"/>
        <v>664</v>
      </c>
      <c r="AI52" s="60">
        <f t="shared" si="87"/>
        <v>0</v>
      </c>
      <c r="AJ52" s="38">
        <f t="shared" si="87"/>
        <v>0</v>
      </c>
      <c r="AK52" s="38">
        <f t="shared" si="87"/>
        <v>0</v>
      </c>
      <c r="AL52" s="38">
        <f t="shared" si="87"/>
        <v>0</v>
      </c>
      <c r="AM52" s="38">
        <f t="shared" si="87"/>
        <v>0</v>
      </c>
      <c r="AN52" s="38">
        <f t="shared" si="87"/>
        <v>0</v>
      </c>
      <c r="AO52" s="38">
        <f t="shared" si="87"/>
        <v>0</v>
      </c>
      <c r="AP52" s="38">
        <f t="shared" si="87"/>
        <v>0</v>
      </c>
      <c r="AQ52" s="38">
        <f t="shared" si="87"/>
        <v>0</v>
      </c>
      <c r="AR52" s="38">
        <f t="shared" si="87"/>
        <v>0</v>
      </c>
      <c r="AS52" s="38">
        <f t="shared" si="87"/>
        <v>0</v>
      </c>
      <c r="AT52" s="38">
        <f t="shared" si="87"/>
        <v>0</v>
      </c>
      <c r="AU52" s="60">
        <f t="shared" si="87"/>
        <v>0</v>
      </c>
      <c r="AV52" s="38">
        <f t="shared" si="87"/>
        <v>0</v>
      </c>
      <c r="AW52" s="38">
        <f t="shared" si="87"/>
        <v>0</v>
      </c>
      <c r="AX52" s="38">
        <f t="shared" si="87"/>
        <v>0</v>
      </c>
      <c r="AY52" s="38">
        <f t="shared" si="87"/>
        <v>0</v>
      </c>
      <c r="AZ52" s="38">
        <f t="shared" si="87"/>
        <v>0</v>
      </c>
      <c r="BA52" s="38">
        <f t="shared" si="87"/>
        <v>0</v>
      </c>
      <c r="BB52" s="38">
        <f t="shared" si="87"/>
        <v>0</v>
      </c>
      <c r="BC52" s="38">
        <f t="shared" si="87"/>
        <v>0</v>
      </c>
      <c r="BD52" s="38">
        <f t="shared" si="87"/>
        <v>0</v>
      </c>
      <c r="BE52" s="38">
        <f t="shared" si="87"/>
        <v>0</v>
      </c>
      <c r="BF52" s="60">
        <f t="shared" si="87"/>
        <v>0</v>
      </c>
      <c r="BG52" s="38">
        <f t="shared" si="87"/>
        <v>0</v>
      </c>
      <c r="BH52" s="38">
        <f t="shared" si="87"/>
        <v>0</v>
      </c>
      <c r="BI52" s="38">
        <f t="shared" si="87"/>
        <v>0</v>
      </c>
      <c r="BJ52" s="38">
        <f t="shared" si="87"/>
        <v>0</v>
      </c>
      <c r="BK52" s="38">
        <f t="shared" si="87"/>
        <v>0</v>
      </c>
      <c r="BL52" s="38">
        <f t="shared" si="87"/>
        <v>0</v>
      </c>
      <c r="BM52" s="38">
        <f t="shared" si="87"/>
        <v>0</v>
      </c>
      <c r="BN52" s="38">
        <f t="shared" si="87"/>
        <v>0</v>
      </c>
      <c r="BO52" s="38">
        <f t="shared" si="87"/>
        <v>4</v>
      </c>
      <c r="BP52" s="38">
        <f t="shared" si="87"/>
        <v>0</v>
      </c>
      <c r="BQ52" s="38">
        <f t="shared" si="87"/>
        <v>3</v>
      </c>
      <c r="BR52" s="38">
        <f t="shared" si="87"/>
        <v>0</v>
      </c>
      <c r="BS52" s="38">
        <f t="shared" si="87"/>
        <v>6</v>
      </c>
      <c r="BT52" s="38">
        <f t="shared" si="87"/>
        <v>0</v>
      </c>
      <c r="BU52" s="38">
        <f t="shared" si="87"/>
        <v>4</v>
      </c>
      <c r="BV52" s="38">
        <f t="shared" ref="BV52:BW52" si="93">SUM(BV54:BV62)</f>
        <v>1</v>
      </c>
      <c r="BW52" s="38">
        <f t="shared" si="93"/>
        <v>2</v>
      </c>
      <c r="BX52" s="38">
        <f t="shared" ref="BX52:BY52" si="94">SUM(BX54:BX62)</f>
        <v>3</v>
      </c>
      <c r="BY52" s="38">
        <f t="shared" si="94"/>
        <v>11</v>
      </c>
      <c r="BZ52" s="38">
        <f t="shared" ref="BZ52:CA52" si="95">SUM(BZ54:BZ62)</f>
        <v>12</v>
      </c>
      <c r="CA52" s="38">
        <f t="shared" si="95"/>
        <v>8</v>
      </c>
      <c r="CB52" s="38">
        <f t="shared" ref="CB52:CC52" si="96">SUM(CB54:CB62)</f>
        <v>3</v>
      </c>
      <c r="CC52" s="38">
        <f t="shared" si="96"/>
        <v>6</v>
      </c>
      <c r="CD52" s="38">
        <f t="shared" ref="CD52:CE52" si="97">SUM(CD54:CD62)</f>
        <v>4</v>
      </c>
      <c r="CE52" s="38">
        <f t="shared" si="97"/>
        <v>11</v>
      </c>
    </row>
    <row r="53" spans="1:83">
      <c r="A53" s="39" t="s">
        <v>213</v>
      </c>
      <c r="B53" s="61">
        <f t="shared" ref="B53:BU53" si="98">(B52/B4)*100</f>
        <v>0</v>
      </c>
      <c r="C53" s="40">
        <f t="shared" si="98"/>
        <v>0</v>
      </c>
      <c r="D53" s="40">
        <f t="shared" si="98"/>
        <v>0</v>
      </c>
      <c r="E53" s="40">
        <f t="shared" si="98"/>
        <v>0</v>
      </c>
      <c r="F53" s="40">
        <f t="shared" si="98"/>
        <v>0</v>
      </c>
      <c r="G53" s="40">
        <f t="shared" si="98"/>
        <v>18.700787401574804</v>
      </c>
      <c r="H53" s="40">
        <f t="shared" si="98"/>
        <v>0</v>
      </c>
      <c r="I53" s="40">
        <f t="shared" si="98"/>
        <v>0</v>
      </c>
      <c r="J53" s="40">
        <f t="shared" si="98"/>
        <v>20.133111480865225</v>
      </c>
      <c r="K53" s="40">
        <f t="shared" si="98"/>
        <v>20.151515151515152</v>
      </c>
      <c r="L53" s="40">
        <f t="shared" si="98"/>
        <v>18.601190476190478</v>
      </c>
      <c r="M53" s="40">
        <f t="shared" si="98"/>
        <v>19.738480697384809</v>
      </c>
      <c r="N53" s="40">
        <f t="shared" si="98"/>
        <v>14.971209213051823</v>
      </c>
      <c r="O53" s="40">
        <f t="shared" si="98"/>
        <v>17.525195968645015</v>
      </c>
      <c r="P53" s="40">
        <f t="shared" si="98"/>
        <v>17.590725806451612</v>
      </c>
      <c r="Q53" s="40">
        <f t="shared" si="98"/>
        <v>16.581276199347926</v>
      </c>
      <c r="R53" s="40">
        <f t="shared" si="98"/>
        <v>15.205421431596781</v>
      </c>
      <c r="S53" s="40">
        <f t="shared" si="98"/>
        <v>16.893132574366508</v>
      </c>
      <c r="T53" s="40">
        <f t="shared" si="98"/>
        <v>14.752370916754479</v>
      </c>
      <c r="U53" s="40">
        <f t="shared" si="98"/>
        <v>16.308559351884465</v>
      </c>
      <c r="V53" s="40">
        <f t="shared" si="98"/>
        <v>13.73117033603708</v>
      </c>
      <c r="W53" s="40">
        <f t="shared" si="98"/>
        <v>14.146060954571594</v>
      </c>
      <c r="X53" s="40">
        <f t="shared" si="98"/>
        <v>13.525377229080931</v>
      </c>
      <c r="Y53" s="40">
        <f t="shared" ref="Y53:Z53" si="99">(Y52/Y4)*100</f>
        <v>12.89364230540701</v>
      </c>
      <c r="Z53" s="40">
        <f t="shared" si="99"/>
        <v>12.666281087333719</v>
      </c>
      <c r="AA53" s="40">
        <f t="shared" ref="AA53:AB53" si="100">(AA52/AA4)*100</f>
        <v>13.408280778722236</v>
      </c>
      <c r="AB53" s="40">
        <f t="shared" si="100"/>
        <v>14.160700079554495</v>
      </c>
      <c r="AC53" s="40">
        <f t="shared" ref="AC53:AH53" si="101">(AC52/AC4)*100</f>
        <v>12.396069538926682</v>
      </c>
      <c r="AD53" s="40">
        <f t="shared" si="101"/>
        <v>11.939942802669208</v>
      </c>
      <c r="AE53" s="40">
        <f t="shared" si="101"/>
        <v>13.197246617612151</v>
      </c>
      <c r="AF53" s="40">
        <f t="shared" si="101"/>
        <v>13.498802525582407</v>
      </c>
      <c r="AG53" s="40">
        <f t="shared" si="101"/>
        <v>14.16242531533525</v>
      </c>
      <c r="AH53" s="40">
        <f t="shared" si="101"/>
        <v>13.62051282051282</v>
      </c>
      <c r="AI53" s="61">
        <f t="shared" si="98"/>
        <v>0</v>
      </c>
      <c r="AJ53" s="40">
        <f t="shared" si="98"/>
        <v>0</v>
      </c>
      <c r="AK53" s="40">
        <f t="shared" si="98"/>
        <v>0</v>
      </c>
      <c r="AL53" s="40">
        <f t="shared" si="98"/>
        <v>0</v>
      </c>
      <c r="AM53" s="40">
        <f t="shared" si="98"/>
        <v>0</v>
      </c>
      <c r="AN53" s="40">
        <f t="shared" si="98"/>
        <v>0</v>
      </c>
      <c r="AO53" s="40">
        <f t="shared" si="98"/>
        <v>0</v>
      </c>
      <c r="AP53" s="40">
        <f t="shared" si="98"/>
        <v>0</v>
      </c>
      <c r="AQ53" s="40">
        <f t="shared" si="98"/>
        <v>0</v>
      </c>
      <c r="AR53" s="40">
        <f t="shared" si="98"/>
        <v>0</v>
      </c>
      <c r="AS53" s="40">
        <f t="shared" si="98"/>
        <v>0</v>
      </c>
      <c r="AT53" s="40">
        <f t="shared" si="98"/>
        <v>0</v>
      </c>
      <c r="AU53" s="61">
        <f t="shared" si="98"/>
        <v>0</v>
      </c>
      <c r="AV53" s="40">
        <f t="shared" si="98"/>
        <v>0</v>
      </c>
      <c r="AW53" s="40">
        <f t="shared" si="98"/>
        <v>0</v>
      </c>
      <c r="AX53" s="40">
        <f t="shared" si="98"/>
        <v>0</v>
      </c>
      <c r="AY53" s="40">
        <f t="shared" si="98"/>
        <v>0</v>
      </c>
      <c r="AZ53" s="40">
        <f t="shared" si="98"/>
        <v>0</v>
      </c>
      <c r="BA53" s="40">
        <f t="shared" si="98"/>
        <v>0</v>
      </c>
      <c r="BB53" s="40">
        <f t="shared" si="98"/>
        <v>0</v>
      </c>
      <c r="BC53" s="40">
        <f t="shared" si="98"/>
        <v>0</v>
      </c>
      <c r="BD53" s="40">
        <f t="shared" si="98"/>
        <v>0</v>
      </c>
      <c r="BE53" s="40">
        <f t="shared" si="98"/>
        <v>0</v>
      </c>
      <c r="BF53" s="61">
        <f t="shared" si="98"/>
        <v>0</v>
      </c>
      <c r="BG53" s="40">
        <f t="shared" si="98"/>
        <v>0</v>
      </c>
      <c r="BH53" s="40">
        <f t="shared" si="98"/>
        <v>0</v>
      </c>
      <c r="BI53" s="40">
        <f t="shared" si="98"/>
        <v>0</v>
      </c>
      <c r="BJ53" s="40">
        <f t="shared" si="98"/>
        <v>0</v>
      </c>
      <c r="BK53" s="40">
        <f t="shared" si="98"/>
        <v>0</v>
      </c>
      <c r="BL53" s="40">
        <f t="shared" si="98"/>
        <v>0</v>
      </c>
      <c r="BM53" s="40">
        <f t="shared" si="98"/>
        <v>0</v>
      </c>
      <c r="BN53" s="40">
        <f t="shared" si="98"/>
        <v>0</v>
      </c>
      <c r="BO53" s="40">
        <f t="shared" si="98"/>
        <v>1.5625</v>
      </c>
      <c r="BP53" s="40">
        <f t="shared" si="98"/>
        <v>0</v>
      </c>
      <c r="BQ53" s="40">
        <f t="shared" si="98"/>
        <v>0.97402597402597402</v>
      </c>
      <c r="BR53" s="40">
        <f t="shared" si="98"/>
        <v>0</v>
      </c>
      <c r="BS53" s="40">
        <f t="shared" si="98"/>
        <v>1.2396694214876034</v>
      </c>
      <c r="BT53" s="40">
        <f t="shared" si="98"/>
        <v>0</v>
      </c>
      <c r="BU53" s="40">
        <f t="shared" si="98"/>
        <v>0.85106382978723405</v>
      </c>
      <c r="BV53" s="40">
        <f t="shared" ref="BV53:BW53" si="102">(BV52/BV4)*100</f>
        <v>0.32467532467532467</v>
      </c>
      <c r="BW53" s="40">
        <f t="shared" si="102"/>
        <v>0.61919504643962853</v>
      </c>
      <c r="BX53" s="40">
        <f t="shared" ref="BX53:BY53" si="103">(BX52/BX4)*100</f>
        <v>0.82644628099173556</v>
      </c>
      <c r="BY53" s="40">
        <f t="shared" si="103"/>
        <v>2.1194605009633909</v>
      </c>
      <c r="BZ53" s="40">
        <f t="shared" ref="BZ53:CE53" si="104">(BZ52/BZ4)*100</f>
        <v>1.7991004497751124</v>
      </c>
      <c r="CA53" s="40">
        <f t="shared" si="104"/>
        <v>1.7621145374449341</v>
      </c>
      <c r="CB53" s="40">
        <f t="shared" si="104"/>
        <v>0.55147058823529416</v>
      </c>
      <c r="CC53" s="40">
        <f t="shared" si="104"/>
        <v>0.94786729857819907</v>
      </c>
      <c r="CD53" s="40">
        <f t="shared" si="104"/>
        <v>0.86767895878524948</v>
      </c>
      <c r="CE53" s="40">
        <f t="shared" si="104"/>
        <v>2.2403258655804481</v>
      </c>
    </row>
    <row r="54" spans="1:83">
      <c r="A54" s="37" t="s">
        <v>129</v>
      </c>
      <c r="B54" s="62"/>
      <c r="C54" s="41"/>
      <c r="D54" s="41"/>
      <c r="E54" s="41"/>
      <c r="F54" s="41"/>
      <c r="G54" s="41">
        <v>13</v>
      </c>
      <c r="H54" s="41"/>
      <c r="I54" s="41"/>
      <c r="J54" s="41">
        <v>10</v>
      </c>
      <c r="K54" s="41">
        <v>10</v>
      </c>
      <c r="L54" s="41">
        <v>13</v>
      </c>
      <c r="M54" s="41">
        <v>13</v>
      </c>
      <c r="N54" s="41">
        <v>13</v>
      </c>
      <c r="O54" s="41">
        <v>8</v>
      </c>
      <c r="P54" s="41">
        <v>13</v>
      </c>
      <c r="Q54" s="41">
        <v>10</v>
      </c>
      <c r="R54" s="41">
        <v>25</v>
      </c>
      <c r="S54" s="41">
        <v>18</v>
      </c>
      <c r="T54" s="41">
        <v>17</v>
      </c>
      <c r="U54" s="41">
        <v>28</v>
      </c>
      <c r="V54" s="41">
        <v>19</v>
      </c>
      <c r="W54" s="41">
        <v>32</v>
      </c>
      <c r="X54" s="41">
        <v>18</v>
      </c>
      <c r="Y54" s="41">
        <v>17</v>
      </c>
      <c r="Z54" s="41">
        <v>12</v>
      </c>
      <c r="AA54" s="41">
        <v>20</v>
      </c>
      <c r="AB54" s="41">
        <v>29</v>
      </c>
      <c r="AC54" s="41">
        <v>12</v>
      </c>
      <c r="AD54" s="41">
        <v>15</v>
      </c>
      <c r="AE54" s="1">
        <v>16</v>
      </c>
      <c r="AF54" s="1">
        <v>22</v>
      </c>
      <c r="AG54" s="1">
        <v>24</v>
      </c>
      <c r="AH54" s="1">
        <v>15</v>
      </c>
      <c r="AI54" s="62"/>
      <c r="AJ54" s="41"/>
      <c r="AK54" s="41"/>
      <c r="AL54" s="41"/>
      <c r="AM54" s="41"/>
      <c r="AN54" s="41"/>
      <c r="AO54" s="41"/>
      <c r="AP54" s="41"/>
      <c r="AQ54" s="41"/>
      <c r="AR54" s="41">
        <v>0</v>
      </c>
      <c r="AS54" s="41"/>
      <c r="AT54" s="41"/>
      <c r="AU54" s="62"/>
      <c r="AV54" s="41"/>
      <c r="AW54" s="41"/>
      <c r="AX54" s="41"/>
      <c r="AY54" s="41"/>
      <c r="AZ54" s="41"/>
      <c r="BA54" s="41"/>
      <c r="BB54" s="41"/>
      <c r="BC54" s="41">
        <v>0</v>
      </c>
      <c r="BD54" s="41"/>
      <c r="BE54" s="41"/>
      <c r="BF54" s="62">
        <f t="shared" ref="BF54:BF63" si="105">IF(AJ54&gt;AU54,(AJ54),(AU54))</f>
        <v>0</v>
      </c>
      <c r="BG54" s="41">
        <f t="shared" ref="BG54:BG63" si="106">IF(AM54&gt;AX54,(AM54),(AX54))</f>
        <v>0</v>
      </c>
      <c r="BH54" s="41">
        <f t="shared" ref="BH54:BH63" si="107">IF(AN54&gt;AY54,(AN54),(AY54))</f>
        <v>0</v>
      </c>
      <c r="BI54" s="41">
        <f t="shared" ref="BI54:BI63" si="108">IF(AO54&gt;AZ54,(AO54),(AZ54))</f>
        <v>0</v>
      </c>
      <c r="BJ54" s="41">
        <f t="shared" ref="BJ54:BJ63" si="109">IF(AP54&gt;BA54,(AP54),(BA54))</f>
        <v>0</v>
      </c>
      <c r="BK54" s="41">
        <f t="shared" ref="BK54:BK63" si="110">IF(AQ54&gt;BB54,(AQ54),(BB54))</f>
        <v>0</v>
      </c>
      <c r="BL54" s="41">
        <f t="shared" ref="BL54:BL63" si="111">IF(AR54&gt;BC54,(AR54),(BC54))</f>
        <v>0</v>
      </c>
      <c r="BM54" s="41">
        <f t="shared" ref="BM54:BM63" si="112">IF(AS54&gt;BD54,(AS54),(BD54))</f>
        <v>0</v>
      </c>
      <c r="BN54" s="41">
        <f t="shared" ref="BN54:BN63" si="113">IF(AT54&gt;BE54,(AT54),(BE54))</f>
        <v>0</v>
      </c>
      <c r="BO54" s="41"/>
      <c r="BP54" s="41"/>
      <c r="BQ54" s="41"/>
      <c r="BR54" s="41"/>
      <c r="BS54" s="41"/>
      <c r="BT54" s="41"/>
      <c r="BU54" s="41"/>
      <c r="BV54" s="41"/>
      <c r="BX54" s="1">
        <v>0</v>
      </c>
      <c r="BY54" s="1">
        <v>0</v>
      </c>
      <c r="CA54" s="1">
        <v>0</v>
      </c>
      <c r="CB54" s="1">
        <v>0</v>
      </c>
      <c r="CC54" s="1">
        <v>0</v>
      </c>
      <c r="CD54" s="1">
        <v>0</v>
      </c>
      <c r="CE54" s="1">
        <v>0</v>
      </c>
    </row>
    <row r="55" spans="1:83">
      <c r="A55" s="37" t="s">
        <v>138</v>
      </c>
      <c r="B55" s="62"/>
      <c r="C55" s="41"/>
      <c r="D55" s="41"/>
      <c r="E55" s="41"/>
      <c r="F55" s="41"/>
      <c r="G55" s="41">
        <v>0</v>
      </c>
      <c r="H55" s="41"/>
      <c r="I55" s="41"/>
      <c r="J55" s="41">
        <v>0</v>
      </c>
      <c r="K55" s="41">
        <v>0</v>
      </c>
      <c r="L55" s="41">
        <v>1</v>
      </c>
      <c r="M55" s="41">
        <v>0</v>
      </c>
      <c r="N55" s="41">
        <v>0</v>
      </c>
      <c r="O55" s="41">
        <v>1</v>
      </c>
      <c r="P55" s="41">
        <v>0</v>
      </c>
      <c r="Q55" s="41">
        <v>1</v>
      </c>
      <c r="R55" s="41">
        <v>0</v>
      </c>
      <c r="S55" s="41">
        <v>0</v>
      </c>
      <c r="T55" s="41">
        <v>0</v>
      </c>
      <c r="U55" s="41"/>
      <c r="V55" s="41">
        <v>0</v>
      </c>
      <c r="W55" s="41">
        <v>1</v>
      </c>
      <c r="X55" s="41">
        <v>0</v>
      </c>
      <c r="Y55" s="41">
        <v>0</v>
      </c>
      <c r="Z55" s="41">
        <v>0</v>
      </c>
      <c r="AA55" s="41">
        <v>1</v>
      </c>
      <c r="AB55" s="41">
        <v>0</v>
      </c>
      <c r="AC55" s="41">
        <v>1</v>
      </c>
      <c r="AD55" s="41">
        <v>1</v>
      </c>
      <c r="AE55" s="1">
        <v>1</v>
      </c>
      <c r="AF55" s="1">
        <v>5</v>
      </c>
      <c r="AG55" s="1">
        <v>7</v>
      </c>
      <c r="AH55" s="1">
        <v>20</v>
      </c>
      <c r="AI55" s="62"/>
      <c r="AJ55" s="41"/>
      <c r="AK55" s="41"/>
      <c r="AL55" s="41"/>
      <c r="AM55" s="41"/>
      <c r="AN55" s="41"/>
      <c r="AO55" s="41"/>
      <c r="AP55" s="41"/>
      <c r="AQ55" s="41"/>
      <c r="AR55" s="41">
        <v>0</v>
      </c>
      <c r="AS55" s="41"/>
      <c r="AT55" s="41"/>
      <c r="AU55" s="62"/>
      <c r="AV55" s="41"/>
      <c r="AW55" s="41"/>
      <c r="AX55" s="41"/>
      <c r="AY55" s="41"/>
      <c r="AZ55" s="41"/>
      <c r="BA55" s="41"/>
      <c r="BB55" s="41"/>
      <c r="BC55" s="41">
        <v>0</v>
      </c>
      <c r="BD55" s="41"/>
      <c r="BE55" s="41"/>
      <c r="BF55" s="62">
        <f t="shared" si="105"/>
        <v>0</v>
      </c>
      <c r="BG55" s="41">
        <f t="shared" si="106"/>
        <v>0</v>
      </c>
      <c r="BH55" s="41">
        <f t="shared" si="107"/>
        <v>0</v>
      </c>
      <c r="BI55" s="41">
        <f t="shared" si="108"/>
        <v>0</v>
      </c>
      <c r="BJ55" s="41">
        <f t="shared" si="109"/>
        <v>0</v>
      </c>
      <c r="BK55" s="41">
        <f t="shared" si="110"/>
        <v>0</v>
      </c>
      <c r="BL55" s="41">
        <f t="shared" si="111"/>
        <v>0</v>
      </c>
      <c r="BM55" s="41">
        <f t="shared" si="112"/>
        <v>0</v>
      </c>
      <c r="BN55" s="41">
        <f t="shared" si="113"/>
        <v>0</v>
      </c>
      <c r="BO55" s="41"/>
      <c r="BP55" s="41"/>
      <c r="BQ55" s="41"/>
      <c r="BR55" s="41"/>
      <c r="BS55" s="41"/>
      <c r="BT55" s="41"/>
      <c r="BU55" s="41"/>
      <c r="BV55" s="41"/>
      <c r="BX55" s="1">
        <v>0</v>
      </c>
      <c r="BY55" s="1">
        <v>0</v>
      </c>
      <c r="CA55" s="1">
        <v>0</v>
      </c>
      <c r="CB55" s="1">
        <v>0</v>
      </c>
      <c r="CC55" s="1">
        <v>0</v>
      </c>
      <c r="CD55" s="1">
        <v>0</v>
      </c>
      <c r="CE55" s="1">
        <v>0</v>
      </c>
    </row>
    <row r="56" spans="1:83">
      <c r="A56" s="37" t="s">
        <v>137</v>
      </c>
      <c r="B56" s="62"/>
      <c r="C56" s="41"/>
      <c r="D56" s="41"/>
      <c r="E56" s="41"/>
      <c r="F56" s="41"/>
      <c r="G56" s="41">
        <v>39</v>
      </c>
      <c r="H56" s="41"/>
      <c r="I56" s="41"/>
      <c r="J56" s="41">
        <v>42</v>
      </c>
      <c r="K56" s="41">
        <v>55</v>
      </c>
      <c r="L56" s="41">
        <v>42</v>
      </c>
      <c r="M56" s="41">
        <v>62</v>
      </c>
      <c r="N56" s="41">
        <v>39</v>
      </c>
      <c r="O56" s="41">
        <v>56</v>
      </c>
      <c r="P56" s="41">
        <v>71</v>
      </c>
      <c r="Q56" s="41">
        <v>60</v>
      </c>
      <c r="R56" s="41">
        <v>60</v>
      </c>
      <c r="S56" s="41">
        <v>68</v>
      </c>
      <c r="T56" s="41">
        <v>71</v>
      </c>
      <c r="U56" s="41">
        <v>85</v>
      </c>
      <c r="V56" s="41">
        <v>88</v>
      </c>
      <c r="W56" s="41">
        <v>81</v>
      </c>
      <c r="X56" s="41">
        <v>81</v>
      </c>
      <c r="Y56" s="41">
        <v>64</v>
      </c>
      <c r="Z56" s="41">
        <v>69</v>
      </c>
      <c r="AA56" s="41">
        <v>72</v>
      </c>
      <c r="AB56" s="41">
        <v>78</v>
      </c>
      <c r="AC56" s="41">
        <v>85</v>
      </c>
      <c r="AD56" s="41">
        <v>84</v>
      </c>
      <c r="AE56" s="1">
        <v>85</v>
      </c>
      <c r="AF56" s="1">
        <v>100</v>
      </c>
      <c r="AG56" s="1">
        <v>96</v>
      </c>
      <c r="AH56" s="1">
        <v>87</v>
      </c>
      <c r="AI56" s="62"/>
      <c r="AJ56" s="41"/>
      <c r="AK56" s="41"/>
      <c r="AL56" s="41"/>
      <c r="AM56" s="41">
        <v>0</v>
      </c>
      <c r="AN56" s="41">
        <v>0</v>
      </c>
      <c r="AO56" s="41"/>
      <c r="AP56" s="41"/>
      <c r="AQ56" s="41"/>
      <c r="AR56" s="41">
        <v>0</v>
      </c>
      <c r="AS56" s="41"/>
      <c r="AT56" s="41"/>
      <c r="AU56" s="62"/>
      <c r="AV56" s="41"/>
      <c r="AW56" s="41"/>
      <c r="AX56" s="41"/>
      <c r="AY56" s="41"/>
      <c r="AZ56" s="41"/>
      <c r="BA56" s="41"/>
      <c r="BB56" s="41"/>
      <c r="BC56" s="41">
        <v>0</v>
      </c>
      <c r="BD56" s="41"/>
      <c r="BE56" s="41"/>
      <c r="BF56" s="62">
        <f t="shared" si="105"/>
        <v>0</v>
      </c>
      <c r="BG56" s="41">
        <f t="shared" si="106"/>
        <v>0</v>
      </c>
      <c r="BH56" s="41">
        <f t="shared" si="107"/>
        <v>0</v>
      </c>
      <c r="BI56" s="41">
        <f t="shared" si="108"/>
        <v>0</v>
      </c>
      <c r="BJ56" s="41">
        <f t="shared" si="109"/>
        <v>0</v>
      </c>
      <c r="BK56" s="41">
        <f t="shared" si="110"/>
        <v>0</v>
      </c>
      <c r="BL56" s="41">
        <f t="shared" si="111"/>
        <v>0</v>
      </c>
      <c r="BM56" s="41">
        <f t="shared" si="112"/>
        <v>0</v>
      </c>
      <c r="BN56" s="41">
        <f t="shared" si="113"/>
        <v>0</v>
      </c>
      <c r="BO56" s="41"/>
      <c r="BP56" s="41"/>
      <c r="BQ56" s="41"/>
      <c r="BR56" s="41"/>
      <c r="BS56" s="41"/>
      <c r="BT56" s="41"/>
      <c r="BU56" s="41"/>
      <c r="BV56" s="41"/>
      <c r="BX56" s="1">
        <v>0</v>
      </c>
      <c r="BY56" s="1">
        <v>0</v>
      </c>
      <c r="BZ56" s="1">
        <v>6</v>
      </c>
      <c r="CA56" s="1">
        <v>0</v>
      </c>
      <c r="CB56" s="1">
        <v>0</v>
      </c>
      <c r="CC56" s="1">
        <v>0</v>
      </c>
      <c r="CD56" s="1">
        <v>0</v>
      </c>
      <c r="CE56" s="1">
        <v>2</v>
      </c>
    </row>
    <row r="57" spans="1:83">
      <c r="A57" s="37" t="s">
        <v>145</v>
      </c>
      <c r="B57" s="62"/>
      <c r="C57" s="41"/>
      <c r="D57" s="41"/>
      <c r="E57" s="41"/>
      <c r="F57" s="41"/>
      <c r="G57" s="41">
        <v>1</v>
      </c>
      <c r="H57" s="41"/>
      <c r="I57" s="41"/>
      <c r="J57" s="41">
        <v>0</v>
      </c>
      <c r="K57" s="41">
        <v>0</v>
      </c>
      <c r="L57" s="41">
        <v>0</v>
      </c>
      <c r="M57" s="41">
        <v>0</v>
      </c>
      <c r="N57" s="41">
        <v>1</v>
      </c>
      <c r="O57" s="41">
        <v>0</v>
      </c>
      <c r="P57" s="41">
        <v>1</v>
      </c>
      <c r="Q57" s="41">
        <v>1</v>
      </c>
      <c r="R57" s="41">
        <v>1</v>
      </c>
      <c r="S57" s="41">
        <v>2</v>
      </c>
      <c r="T57" s="41">
        <v>2</v>
      </c>
      <c r="U57" s="41">
        <v>2</v>
      </c>
      <c r="V57" s="41">
        <v>1</v>
      </c>
      <c r="W57" s="41">
        <v>1</v>
      </c>
      <c r="X57" s="41">
        <v>0</v>
      </c>
      <c r="Y57" s="41">
        <v>2</v>
      </c>
      <c r="Z57" s="41">
        <v>3</v>
      </c>
      <c r="AA57" s="41">
        <v>1</v>
      </c>
      <c r="AB57" s="41">
        <v>2</v>
      </c>
      <c r="AC57" s="41">
        <v>3</v>
      </c>
      <c r="AD57" s="41">
        <v>1</v>
      </c>
      <c r="AE57" s="1">
        <v>1</v>
      </c>
      <c r="AF57" s="1">
        <v>1</v>
      </c>
      <c r="AG57" s="1">
        <v>2</v>
      </c>
      <c r="AH57" s="1">
        <v>0</v>
      </c>
      <c r="AI57" s="62"/>
      <c r="AJ57" s="41"/>
      <c r="AK57" s="41"/>
      <c r="AL57" s="41"/>
      <c r="AM57" s="41"/>
      <c r="AN57" s="41"/>
      <c r="AO57" s="41"/>
      <c r="AP57" s="41"/>
      <c r="AQ57" s="41"/>
      <c r="AR57" s="41">
        <v>0</v>
      </c>
      <c r="AS57" s="41"/>
      <c r="AT57" s="41"/>
      <c r="AU57" s="62"/>
      <c r="AV57" s="41"/>
      <c r="AW57" s="41"/>
      <c r="AX57" s="41"/>
      <c r="AY57" s="41"/>
      <c r="AZ57" s="41"/>
      <c r="BA57" s="41"/>
      <c r="BB57" s="41"/>
      <c r="BC57" s="41">
        <v>0</v>
      </c>
      <c r="BD57" s="41"/>
      <c r="BE57" s="41"/>
      <c r="BF57" s="62">
        <f t="shared" si="105"/>
        <v>0</v>
      </c>
      <c r="BG57" s="41">
        <f t="shared" si="106"/>
        <v>0</v>
      </c>
      <c r="BH57" s="41">
        <f t="shared" si="107"/>
        <v>0</v>
      </c>
      <c r="BI57" s="41">
        <f t="shared" si="108"/>
        <v>0</v>
      </c>
      <c r="BJ57" s="41">
        <f t="shared" si="109"/>
        <v>0</v>
      </c>
      <c r="BK57" s="41">
        <f t="shared" si="110"/>
        <v>0</v>
      </c>
      <c r="BL57" s="41">
        <f t="shared" si="111"/>
        <v>0</v>
      </c>
      <c r="BM57" s="41">
        <f t="shared" si="112"/>
        <v>0</v>
      </c>
      <c r="BN57" s="41">
        <f t="shared" si="113"/>
        <v>0</v>
      </c>
      <c r="BO57" s="41"/>
      <c r="BP57" s="41"/>
      <c r="BQ57" s="41"/>
      <c r="BR57" s="41"/>
      <c r="BS57" s="41"/>
      <c r="BT57" s="41"/>
      <c r="BU57" s="41"/>
      <c r="BV57" s="41"/>
      <c r="BX57" s="1">
        <v>0</v>
      </c>
      <c r="BY57" s="1">
        <v>0</v>
      </c>
      <c r="CA57" s="1">
        <v>0</v>
      </c>
      <c r="CB57" s="1">
        <v>0</v>
      </c>
      <c r="CC57" s="1">
        <v>0</v>
      </c>
      <c r="CD57" s="1">
        <v>0</v>
      </c>
      <c r="CE57" s="1">
        <v>0</v>
      </c>
    </row>
    <row r="58" spans="1:83">
      <c r="A58" s="37" t="s">
        <v>146</v>
      </c>
      <c r="B58" s="62"/>
      <c r="C58" s="41"/>
      <c r="D58" s="41"/>
      <c r="E58" s="41"/>
      <c r="F58" s="41"/>
      <c r="G58" s="41">
        <v>17</v>
      </c>
      <c r="H58" s="41"/>
      <c r="I58" s="41"/>
      <c r="J58" s="41">
        <v>24</v>
      </c>
      <c r="K58" s="41">
        <v>26</v>
      </c>
      <c r="L58" s="41">
        <v>33</v>
      </c>
      <c r="M58" s="41">
        <v>43</v>
      </c>
      <c r="N58" s="41">
        <v>33</v>
      </c>
      <c r="O58" s="41">
        <v>32</v>
      </c>
      <c r="P58" s="41">
        <v>29</v>
      </c>
      <c r="Q58" s="41">
        <v>41</v>
      </c>
      <c r="R58" s="41">
        <v>46</v>
      </c>
      <c r="S58" s="41">
        <v>43</v>
      </c>
      <c r="T58" s="41">
        <v>51</v>
      </c>
      <c r="U58" s="41">
        <v>38</v>
      </c>
      <c r="V58" s="41">
        <v>46</v>
      </c>
      <c r="W58" s="41">
        <v>64</v>
      </c>
      <c r="X58" s="41">
        <v>57</v>
      </c>
      <c r="Y58" s="41">
        <v>62</v>
      </c>
      <c r="Z58" s="41">
        <v>70</v>
      </c>
      <c r="AA58" s="41">
        <v>75</v>
      </c>
      <c r="AB58" s="41">
        <v>62</v>
      </c>
      <c r="AC58" s="41">
        <v>91</v>
      </c>
      <c r="AD58" s="41">
        <v>85</v>
      </c>
      <c r="AE58" s="1">
        <v>99</v>
      </c>
      <c r="AF58" s="1">
        <v>107</v>
      </c>
      <c r="AG58" s="1">
        <v>125</v>
      </c>
      <c r="AH58" s="1">
        <v>131</v>
      </c>
      <c r="AI58" s="62"/>
      <c r="AJ58" s="41"/>
      <c r="AK58" s="41"/>
      <c r="AL58" s="41"/>
      <c r="AM58" s="41">
        <v>0</v>
      </c>
      <c r="AN58" s="41">
        <v>0</v>
      </c>
      <c r="AO58" s="41"/>
      <c r="AP58" s="41"/>
      <c r="AQ58" s="41"/>
      <c r="AR58" s="41">
        <v>0</v>
      </c>
      <c r="AS58" s="41"/>
      <c r="AT58" s="41"/>
      <c r="AU58" s="62"/>
      <c r="AV58" s="41"/>
      <c r="AW58" s="41"/>
      <c r="AX58" s="41"/>
      <c r="AY58" s="41"/>
      <c r="AZ58" s="41"/>
      <c r="BA58" s="41"/>
      <c r="BB58" s="41"/>
      <c r="BC58" s="41">
        <v>0</v>
      </c>
      <c r="BD58" s="41"/>
      <c r="BE58" s="41"/>
      <c r="BF58" s="62">
        <f t="shared" si="105"/>
        <v>0</v>
      </c>
      <c r="BG58" s="41">
        <f t="shared" si="106"/>
        <v>0</v>
      </c>
      <c r="BH58" s="41">
        <f t="shared" si="107"/>
        <v>0</v>
      </c>
      <c r="BI58" s="41">
        <f t="shared" si="108"/>
        <v>0</v>
      </c>
      <c r="BJ58" s="41">
        <f t="shared" si="109"/>
        <v>0</v>
      </c>
      <c r="BK58" s="41">
        <f t="shared" si="110"/>
        <v>0</v>
      </c>
      <c r="BL58" s="41">
        <f t="shared" si="111"/>
        <v>0</v>
      </c>
      <c r="BM58" s="41">
        <f t="shared" si="112"/>
        <v>0</v>
      </c>
      <c r="BN58" s="41">
        <f t="shared" si="113"/>
        <v>0</v>
      </c>
      <c r="BO58" s="41">
        <v>4</v>
      </c>
      <c r="BP58" s="41">
        <v>0</v>
      </c>
      <c r="BQ58" s="41">
        <v>3</v>
      </c>
      <c r="BR58" s="41">
        <v>0</v>
      </c>
      <c r="BS58" s="41">
        <v>6</v>
      </c>
      <c r="BT58" s="41">
        <v>0</v>
      </c>
      <c r="BU58" s="41">
        <v>4</v>
      </c>
      <c r="BV58" s="41">
        <v>1</v>
      </c>
      <c r="BW58" s="1">
        <v>2</v>
      </c>
      <c r="BX58" s="1">
        <v>3</v>
      </c>
      <c r="BY58" s="1">
        <v>11</v>
      </c>
      <c r="BZ58" s="1">
        <v>6</v>
      </c>
      <c r="CA58" s="1">
        <v>0</v>
      </c>
      <c r="CB58" s="1">
        <v>3</v>
      </c>
      <c r="CC58" s="1">
        <v>6</v>
      </c>
      <c r="CD58" s="1">
        <v>4</v>
      </c>
      <c r="CE58" s="1">
        <v>9</v>
      </c>
    </row>
    <row r="59" spans="1:83">
      <c r="A59" s="37" t="s">
        <v>149</v>
      </c>
      <c r="B59" s="62"/>
      <c r="C59" s="41"/>
      <c r="D59" s="41"/>
      <c r="E59" s="41"/>
      <c r="F59" s="41"/>
      <c r="G59" s="41">
        <v>60</v>
      </c>
      <c r="H59" s="41"/>
      <c r="I59" s="41"/>
      <c r="J59" s="41">
        <v>91</v>
      </c>
      <c r="K59" s="41">
        <v>105</v>
      </c>
      <c r="L59" s="41">
        <v>96</v>
      </c>
      <c r="M59" s="41">
        <v>117</v>
      </c>
      <c r="N59" s="41">
        <v>69</v>
      </c>
      <c r="O59" s="41">
        <v>128</v>
      </c>
      <c r="P59" s="41">
        <v>119</v>
      </c>
      <c r="Q59" s="41">
        <v>132</v>
      </c>
      <c r="R59" s="41">
        <v>128</v>
      </c>
      <c r="S59" s="41">
        <v>174</v>
      </c>
      <c r="T59" s="41">
        <v>135</v>
      </c>
      <c r="U59" s="41">
        <v>169</v>
      </c>
      <c r="V59" s="41">
        <v>174</v>
      </c>
      <c r="W59" s="41">
        <v>176</v>
      </c>
      <c r="X59" s="41">
        <v>200</v>
      </c>
      <c r="Y59" s="41">
        <v>180</v>
      </c>
      <c r="Z59" s="41">
        <v>170</v>
      </c>
      <c r="AA59" s="41">
        <v>192</v>
      </c>
      <c r="AB59" s="41">
        <v>206</v>
      </c>
      <c r="AC59" s="41">
        <v>179</v>
      </c>
      <c r="AD59" s="41">
        <v>181</v>
      </c>
      <c r="AE59" s="1">
        <v>206</v>
      </c>
      <c r="AF59" s="1">
        <v>216</v>
      </c>
      <c r="AG59" s="1">
        <v>226</v>
      </c>
      <c r="AH59" s="1">
        <v>216</v>
      </c>
      <c r="AI59" s="62"/>
      <c r="AJ59" s="41"/>
      <c r="AK59" s="41"/>
      <c r="AL59" s="41"/>
      <c r="AM59" s="41">
        <v>0</v>
      </c>
      <c r="AN59" s="41">
        <v>0</v>
      </c>
      <c r="AO59" s="41"/>
      <c r="AP59" s="41"/>
      <c r="AQ59" s="41"/>
      <c r="AR59" s="41">
        <v>0</v>
      </c>
      <c r="AS59" s="41"/>
      <c r="AT59" s="41"/>
      <c r="AU59" s="62"/>
      <c r="AV59" s="41"/>
      <c r="AW59" s="41"/>
      <c r="AX59" s="41"/>
      <c r="AY59" s="41"/>
      <c r="AZ59" s="41"/>
      <c r="BA59" s="41"/>
      <c r="BB59" s="41"/>
      <c r="BC59" s="41">
        <v>0</v>
      </c>
      <c r="BD59" s="41"/>
      <c r="BE59" s="41"/>
      <c r="BF59" s="62">
        <f t="shared" si="105"/>
        <v>0</v>
      </c>
      <c r="BG59" s="41">
        <f t="shared" si="106"/>
        <v>0</v>
      </c>
      <c r="BH59" s="41">
        <f t="shared" si="107"/>
        <v>0</v>
      </c>
      <c r="BI59" s="41">
        <f t="shared" si="108"/>
        <v>0</v>
      </c>
      <c r="BJ59" s="41">
        <f t="shared" si="109"/>
        <v>0</v>
      </c>
      <c r="BK59" s="41">
        <f t="shared" si="110"/>
        <v>0</v>
      </c>
      <c r="BL59" s="41">
        <f t="shared" si="111"/>
        <v>0</v>
      </c>
      <c r="BM59" s="41">
        <f t="shared" si="112"/>
        <v>0</v>
      </c>
      <c r="BN59" s="41">
        <f t="shared" si="113"/>
        <v>0</v>
      </c>
      <c r="BO59" s="41"/>
      <c r="BP59" s="41"/>
      <c r="BQ59" s="41"/>
      <c r="BR59" s="41"/>
      <c r="BS59" s="41"/>
      <c r="BT59" s="41"/>
      <c r="BU59" s="41"/>
      <c r="BV59" s="41"/>
      <c r="BX59" s="1">
        <v>0</v>
      </c>
      <c r="BY59" s="1">
        <v>0</v>
      </c>
      <c r="CA59" s="1">
        <v>8</v>
      </c>
      <c r="CB59" s="1">
        <v>0</v>
      </c>
      <c r="CC59" s="1">
        <v>0</v>
      </c>
      <c r="CD59" s="1">
        <v>0</v>
      </c>
      <c r="CE59" s="1">
        <v>0</v>
      </c>
    </row>
    <row r="60" spans="1:83">
      <c r="A60" s="37" t="s">
        <v>152</v>
      </c>
      <c r="B60" s="62"/>
      <c r="C60" s="41"/>
      <c r="D60" s="41"/>
      <c r="E60" s="41"/>
      <c r="F60" s="41"/>
      <c r="G60" s="41">
        <v>55</v>
      </c>
      <c r="H60" s="41"/>
      <c r="I60" s="41"/>
      <c r="J60" s="41">
        <v>71</v>
      </c>
      <c r="K60" s="41">
        <v>68</v>
      </c>
      <c r="L60" s="41">
        <v>61</v>
      </c>
      <c r="M60" s="41">
        <v>79</v>
      </c>
      <c r="N60" s="41">
        <v>75</v>
      </c>
      <c r="O60" s="41">
        <v>84</v>
      </c>
      <c r="P60" s="41">
        <v>109</v>
      </c>
      <c r="Q60" s="41">
        <v>103</v>
      </c>
      <c r="R60" s="41">
        <v>90</v>
      </c>
      <c r="S60" s="41">
        <v>142</v>
      </c>
      <c r="T60" s="41">
        <v>137</v>
      </c>
      <c r="U60" s="41">
        <v>134</v>
      </c>
      <c r="V60" s="41">
        <v>138</v>
      </c>
      <c r="W60" s="41">
        <v>128</v>
      </c>
      <c r="X60" s="41">
        <v>130</v>
      </c>
      <c r="Y60" s="41">
        <v>103</v>
      </c>
      <c r="Z60" s="41">
        <v>105</v>
      </c>
      <c r="AA60" s="41">
        <v>120</v>
      </c>
      <c r="AB60" s="41">
        <v>142</v>
      </c>
      <c r="AC60" s="41">
        <v>111</v>
      </c>
      <c r="AD60" s="41">
        <v>125</v>
      </c>
      <c r="AE60" s="1">
        <v>139</v>
      </c>
      <c r="AF60" s="1">
        <v>163</v>
      </c>
      <c r="AG60" s="1">
        <v>138</v>
      </c>
      <c r="AH60" s="1">
        <v>183</v>
      </c>
      <c r="AI60" s="62"/>
      <c r="AJ60" s="41"/>
      <c r="AK60" s="41"/>
      <c r="AL60" s="41"/>
      <c r="AM60" s="41">
        <v>0</v>
      </c>
      <c r="AN60" s="41">
        <v>0</v>
      </c>
      <c r="AO60" s="41"/>
      <c r="AP60" s="41"/>
      <c r="AQ60" s="41"/>
      <c r="AR60" s="41">
        <v>0</v>
      </c>
      <c r="AS60" s="41"/>
      <c r="AT60" s="41"/>
      <c r="AU60" s="62"/>
      <c r="AV60" s="41"/>
      <c r="AW60" s="41"/>
      <c r="AX60" s="41">
        <v>0</v>
      </c>
      <c r="AY60" s="41">
        <v>0</v>
      </c>
      <c r="AZ60" s="41"/>
      <c r="BA60" s="41"/>
      <c r="BB60" s="41"/>
      <c r="BC60" s="41">
        <v>0</v>
      </c>
      <c r="BD60" s="41"/>
      <c r="BE60" s="41"/>
      <c r="BF60" s="62">
        <f t="shared" si="105"/>
        <v>0</v>
      </c>
      <c r="BG60" s="41">
        <f t="shared" si="106"/>
        <v>0</v>
      </c>
      <c r="BH60" s="41">
        <f t="shared" si="107"/>
        <v>0</v>
      </c>
      <c r="BI60" s="41">
        <f t="shared" si="108"/>
        <v>0</v>
      </c>
      <c r="BJ60" s="41">
        <f t="shared" si="109"/>
        <v>0</v>
      </c>
      <c r="BK60" s="41">
        <f t="shared" si="110"/>
        <v>0</v>
      </c>
      <c r="BL60" s="41">
        <f t="shared" si="111"/>
        <v>0</v>
      </c>
      <c r="BM60" s="41">
        <f t="shared" si="112"/>
        <v>0</v>
      </c>
      <c r="BN60" s="41">
        <f t="shared" si="113"/>
        <v>0</v>
      </c>
      <c r="BO60" s="41"/>
      <c r="BP60" s="41"/>
      <c r="BQ60" s="41"/>
      <c r="BR60" s="41"/>
      <c r="BS60" s="41"/>
      <c r="BT60" s="41"/>
      <c r="BU60" s="41"/>
      <c r="BV60" s="41"/>
      <c r="BX60" s="1">
        <v>0</v>
      </c>
      <c r="BY60" s="1">
        <v>0</v>
      </c>
      <c r="CA60" s="1">
        <v>0</v>
      </c>
      <c r="CB60" s="1">
        <v>0</v>
      </c>
      <c r="CC60" s="1">
        <v>0</v>
      </c>
      <c r="CD60" s="1">
        <v>0</v>
      </c>
      <c r="CE60" s="1">
        <v>0</v>
      </c>
    </row>
    <row r="61" spans="1:83">
      <c r="A61" s="37" t="s">
        <v>153</v>
      </c>
      <c r="B61" s="62"/>
      <c r="C61" s="41"/>
      <c r="D61" s="41"/>
      <c r="E61" s="41"/>
      <c r="F61" s="41"/>
      <c r="G61" s="41">
        <v>3</v>
      </c>
      <c r="H61" s="41"/>
      <c r="I61" s="41"/>
      <c r="J61" s="41">
        <v>4</v>
      </c>
      <c r="K61" s="41">
        <v>2</v>
      </c>
      <c r="L61" s="41">
        <v>4</v>
      </c>
      <c r="M61" s="41">
        <v>3</v>
      </c>
      <c r="N61" s="41">
        <v>4</v>
      </c>
      <c r="O61" s="41">
        <v>4</v>
      </c>
      <c r="P61" s="41">
        <v>5</v>
      </c>
      <c r="Q61" s="41">
        <v>7</v>
      </c>
      <c r="R61" s="41">
        <v>7</v>
      </c>
      <c r="S61" s="41">
        <v>10</v>
      </c>
      <c r="T61" s="41">
        <v>7</v>
      </c>
      <c r="U61" s="41">
        <v>7</v>
      </c>
      <c r="V61" s="41">
        <v>6</v>
      </c>
      <c r="W61" s="41">
        <v>7</v>
      </c>
      <c r="X61" s="41">
        <v>5</v>
      </c>
      <c r="Y61" s="41">
        <v>6</v>
      </c>
      <c r="Z61" s="41">
        <v>5</v>
      </c>
      <c r="AA61" s="41">
        <v>6</v>
      </c>
      <c r="AB61" s="41">
        <v>11</v>
      </c>
      <c r="AC61" s="41">
        <v>9</v>
      </c>
      <c r="AD61" s="41">
        <v>8</v>
      </c>
      <c r="AE61" s="1">
        <v>9</v>
      </c>
      <c r="AF61" s="1">
        <v>5</v>
      </c>
      <c r="AG61" s="1">
        <v>20</v>
      </c>
      <c r="AH61" s="1">
        <v>12</v>
      </c>
      <c r="AI61" s="62"/>
      <c r="AJ61" s="41"/>
      <c r="AK61" s="41"/>
      <c r="AL61" s="41"/>
      <c r="AM61" s="41"/>
      <c r="AN61" s="41"/>
      <c r="AO61" s="41"/>
      <c r="AP61" s="41"/>
      <c r="AQ61" s="41"/>
      <c r="AR61" s="41">
        <v>0</v>
      </c>
      <c r="AS61" s="41"/>
      <c r="AT61" s="41"/>
      <c r="AU61" s="62"/>
      <c r="AV61" s="41"/>
      <c r="AW61" s="41"/>
      <c r="AX61" s="41"/>
      <c r="AY61" s="41"/>
      <c r="AZ61" s="41"/>
      <c r="BA61" s="41"/>
      <c r="BB61" s="41"/>
      <c r="BC61" s="41">
        <v>0</v>
      </c>
      <c r="BD61" s="41"/>
      <c r="BE61" s="41"/>
      <c r="BF61" s="62">
        <f t="shared" si="105"/>
        <v>0</v>
      </c>
      <c r="BG61" s="41">
        <f t="shared" si="106"/>
        <v>0</v>
      </c>
      <c r="BH61" s="41">
        <f t="shared" si="107"/>
        <v>0</v>
      </c>
      <c r="BI61" s="41">
        <f t="shared" si="108"/>
        <v>0</v>
      </c>
      <c r="BJ61" s="41">
        <f t="shared" si="109"/>
        <v>0</v>
      </c>
      <c r="BK61" s="41">
        <f t="shared" si="110"/>
        <v>0</v>
      </c>
      <c r="BL61" s="41">
        <f t="shared" si="111"/>
        <v>0</v>
      </c>
      <c r="BM61" s="41">
        <f t="shared" si="112"/>
        <v>0</v>
      </c>
      <c r="BN61" s="41">
        <f t="shared" si="113"/>
        <v>0</v>
      </c>
      <c r="BO61" s="41"/>
      <c r="BP61" s="41"/>
      <c r="BQ61" s="41"/>
      <c r="BR61" s="41"/>
      <c r="BS61" s="41"/>
      <c r="BT61" s="41"/>
      <c r="BU61" s="41"/>
      <c r="BV61" s="41"/>
      <c r="BX61" s="1">
        <v>0</v>
      </c>
      <c r="BY61" s="1">
        <v>0</v>
      </c>
      <c r="CA61" s="1">
        <v>0</v>
      </c>
      <c r="CB61" s="1">
        <v>0</v>
      </c>
      <c r="CC61" s="1">
        <v>0</v>
      </c>
      <c r="CD61" s="1">
        <v>0</v>
      </c>
      <c r="CE61" s="1">
        <v>0</v>
      </c>
    </row>
    <row r="62" spans="1:83">
      <c r="A62" s="42" t="s">
        <v>156</v>
      </c>
      <c r="B62" s="63"/>
      <c r="C62" s="43"/>
      <c r="D62" s="43"/>
      <c r="E62" s="43"/>
      <c r="F62" s="43"/>
      <c r="G62" s="43">
        <v>2</v>
      </c>
      <c r="H62" s="43"/>
      <c r="I62" s="43"/>
      <c r="J62" s="43">
        <v>0</v>
      </c>
      <c r="K62" s="43">
        <v>0</v>
      </c>
      <c r="L62" s="43">
        <v>0</v>
      </c>
      <c r="M62" s="43">
        <v>0</v>
      </c>
      <c r="N62" s="43">
        <v>0</v>
      </c>
      <c r="O62" s="43">
        <v>0</v>
      </c>
      <c r="P62" s="43">
        <v>2</v>
      </c>
      <c r="Q62" s="43">
        <v>1</v>
      </c>
      <c r="R62" s="43">
        <v>2</v>
      </c>
      <c r="S62" s="43">
        <v>3</v>
      </c>
      <c r="T62" s="43">
        <v>0</v>
      </c>
      <c r="U62" s="43"/>
      <c r="V62" s="43">
        <v>2</v>
      </c>
      <c r="W62" s="43">
        <v>2</v>
      </c>
      <c r="X62" s="43">
        <v>2</v>
      </c>
      <c r="Y62" s="43">
        <v>0</v>
      </c>
      <c r="Z62" s="43">
        <v>4</v>
      </c>
      <c r="AA62" s="43">
        <v>2</v>
      </c>
      <c r="AB62" s="43">
        <v>4</v>
      </c>
      <c r="AC62" s="43">
        <v>1</v>
      </c>
      <c r="AD62" s="43">
        <v>1</v>
      </c>
      <c r="AE62" s="1">
        <v>0</v>
      </c>
      <c r="AF62" s="1">
        <v>1</v>
      </c>
      <c r="AG62" s="1">
        <v>2</v>
      </c>
      <c r="AH62" s="1">
        <v>0</v>
      </c>
      <c r="AI62" s="63"/>
      <c r="AJ62" s="43"/>
      <c r="AK62" s="43"/>
      <c r="AL62" s="43"/>
      <c r="AM62" s="43"/>
      <c r="AN62" s="43"/>
      <c r="AO62" s="43"/>
      <c r="AP62" s="43"/>
      <c r="AQ62" s="43"/>
      <c r="AR62" s="43">
        <v>0</v>
      </c>
      <c r="AS62" s="43"/>
      <c r="AT62" s="43"/>
      <c r="AU62" s="63"/>
      <c r="AV62" s="43"/>
      <c r="AW62" s="43"/>
      <c r="AX62" s="43"/>
      <c r="AY62" s="43"/>
      <c r="AZ62" s="43"/>
      <c r="BA62" s="43"/>
      <c r="BB62" s="43"/>
      <c r="BC62" s="43">
        <v>0</v>
      </c>
      <c r="BD62" s="43"/>
      <c r="BE62" s="43"/>
      <c r="BF62" s="63">
        <f t="shared" si="105"/>
        <v>0</v>
      </c>
      <c r="BG62" s="43">
        <f t="shared" si="106"/>
        <v>0</v>
      </c>
      <c r="BH62" s="43">
        <f t="shared" si="107"/>
        <v>0</v>
      </c>
      <c r="BI62" s="43">
        <f t="shared" si="108"/>
        <v>0</v>
      </c>
      <c r="BJ62" s="43">
        <f t="shared" si="109"/>
        <v>0</v>
      </c>
      <c r="BK62" s="43">
        <f t="shared" si="110"/>
        <v>0</v>
      </c>
      <c r="BL62" s="43">
        <f t="shared" si="111"/>
        <v>0</v>
      </c>
      <c r="BM62" s="43">
        <f t="shared" si="112"/>
        <v>0</v>
      </c>
      <c r="BN62" s="43">
        <f t="shared" si="113"/>
        <v>0</v>
      </c>
      <c r="BO62" s="43"/>
      <c r="BP62" s="43"/>
      <c r="BQ62" s="43"/>
      <c r="BR62" s="43"/>
      <c r="BS62" s="43"/>
      <c r="BT62" s="43"/>
      <c r="BU62" s="43"/>
      <c r="BV62" s="43"/>
      <c r="BX62" s="6">
        <v>0</v>
      </c>
      <c r="BY62" s="1">
        <v>0</v>
      </c>
      <c r="CA62" s="1">
        <v>0</v>
      </c>
      <c r="CB62" s="1">
        <v>0</v>
      </c>
      <c r="CC62" s="1">
        <v>0</v>
      </c>
      <c r="CD62" s="1">
        <v>0</v>
      </c>
      <c r="CE62" s="1">
        <v>0</v>
      </c>
    </row>
    <row r="63" spans="1:83">
      <c r="A63" s="45" t="s">
        <v>130</v>
      </c>
      <c r="B63" s="64"/>
      <c r="C63" s="44"/>
      <c r="D63" s="44"/>
      <c r="E63" s="44"/>
      <c r="F63" s="44"/>
      <c r="G63" s="44">
        <v>76</v>
      </c>
      <c r="H63" s="44"/>
      <c r="I63" s="44"/>
      <c r="J63" s="44">
        <v>69</v>
      </c>
      <c r="K63" s="44">
        <v>81</v>
      </c>
      <c r="L63" s="44">
        <v>69</v>
      </c>
      <c r="M63" s="44">
        <v>69</v>
      </c>
      <c r="N63" s="44">
        <v>101</v>
      </c>
      <c r="O63" s="44">
        <v>88</v>
      </c>
      <c r="P63" s="44">
        <v>102</v>
      </c>
      <c r="Q63" s="44">
        <v>108</v>
      </c>
      <c r="R63" s="44">
        <v>116</v>
      </c>
      <c r="S63" s="44">
        <v>126</v>
      </c>
      <c r="T63" s="44">
        <v>119</v>
      </c>
      <c r="U63" s="44">
        <v>127</v>
      </c>
      <c r="V63" s="44">
        <v>125</v>
      </c>
      <c r="W63" s="44">
        <v>126</v>
      </c>
      <c r="X63" s="44">
        <v>134</v>
      </c>
      <c r="Y63" s="44">
        <v>25</v>
      </c>
      <c r="Z63" s="44">
        <v>82</v>
      </c>
      <c r="AA63" s="44">
        <v>112</v>
      </c>
      <c r="AB63" s="44">
        <v>112</v>
      </c>
      <c r="AC63" s="44">
        <v>112</v>
      </c>
      <c r="AD63" s="44">
        <v>134</v>
      </c>
      <c r="AE63" s="44">
        <v>113</v>
      </c>
      <c r="AF63" s="44">
        <v>129</v>
      </c>
      <c r="AG63" s="44">
        <v>111</v>
      </c>
      <c r="AH63" s="44">
        <v>108</v>
      </c>
      <c r="AI63" s="64"/>
      <c r="AJ63" s="44">
        <v>46</v>
      </c>
      <c r="AK63" s="44"/>
      <c r="AL63" s="44"/>
      <c r="AM63" s="44">
        <v>50</v>
      </c>
      <c r="AN63" s="44">
        <v>53</v>
      </c>
      <c r="AO63" s="44">
        <v>49</v>
      </c>
      <c r="AP63" s="44">
        <v>49</v>
      </c>
      <c r="AQ63" s="44">
        <v>64</v>
      </c>
      <c r="AR63" s="44">
        <v>63</v>
      </c>
      <c r="AS63" s="44">
        <v>64</v>
      </c>
      <c r="AT63" s="44">
        <v>80</v>
      </c>
      <c r="AU63" s="64">
        <v>46</v>
      </c>
      <c r="AV63" s="44"/>
      <c r="AW63" s="44"/>
      <c r="AX63" s="44">
        <v>50</v>
      </c>
      <c r="AY63" s="44">
        <v>53</v>
      </c>
      <c r="AZ63" s="44">
        <v>49</v>
      </c>
      <c r="BA63" s="44">
        <v>49</v>
      </c>
      <c r="BB63" s="44">
        <v>64</v>
      </c>
      <c r="BC63" s="44">
        <v>63</v>
      </c>
      <c r="BD63" s="44">
        <v>64</v>
      </c>
      <c r="BE63" s="44">
        <v>80</v>
      </c>
      <c r="BF63" s="64">
        <f t="shared" si="105"/>
        <v>46</v>
      </c>
      <c r="BG63" s="44">
        <f t="shared" si="106"/>
        <v>50</v>
      </c>
      <c r="BH63" s="44">
        <f t="shared" si="107"/>
        <v>53</v>
      </c>
      <c r="BI63" s="44">
        <f t="shared" si="108"/>
        <v>49</v>
      </c>
      <c r="BJ63" s="44">
        <f t="shared" si="109"/>
        <v>49</v>
      </c>
      <c r="BK63" s="44">
        <f t="shared" si="110"/>
        <v>64</v>
      </c>
      <c r="BL63" s="44">
        <f t="shared" si="111"/>
        <v>63</v>
      </c>
      <c r="BM63" s="44">
        <f t="shared" si="112"/>
        <v>64</v>
      </c>
      <c r="BN63" s="44">
        <f t="shared" si="113"/>
        <v>80</v>
      </c>
      <c r="BO63" s="44">
        <v>67</v>
      </c>
      <c r="BP63" s="44">
        <v>77</v>
      </c>
      <c r="BQ63" s="44">
        <v>85</v>
      </c>
      <c r="BR63" s="44">
        <v>86</v>
      </c>
      <c r="BS63" s="44">
        <v>93</v>
      </c>
      <c r="BT63" s="44">
        <v>77</v>
      </c>
      <c r="BU63" s="44">
        <v>93</v>
      </c>
      <c r="BV63" s="44"/>
      <c r="BW63" s="44">
        <v>55</v>
      </c>
      <c r="BX63" s="6">
        <v>73</v>
      </c>
      <c r="BY63" s="97">
        <v>83</v>
      </c>
      <c r="BZ63" s="97">
        <v>80</v>
      </c>
      <c r="CA63" s="97">
        <v>100</v>
      </c>
      <c r="CB63" s="44">
        <v>82</v>
      </c>
      <c r="CC63" s="44">
        <v>91</v>
      </c>
      <c r="CD63" s="44">
        <v>73</v>
      </c>
      <c r="CE63" s="44">
        <v>59</v>
      </c>
    </row>
    <row r="64" spans="1:83">
      <c r="AE64" s="3"/>
      <c r="AF64" s="3"/>
      <c r="AG64" s="3"/>
      <c r="AH64" s="3"/>
      <c r="AM64" s="4"/>
      <c r="AN64" s="4"/>
      <c r="CB64" s="3"/>
      <c r="CC64" s="3"/>
      <c r="CD64" s="3"/>
      <c r="CE64" s="3"/>
    </row>
    <row r="65" spans="2:83">
      <c r="B65" s="1" t="s">
        <v>31</v>
      </c>
      <c r="C65" s="1" t="s">
        <v>31</v>
      </c>
      <c r="D65" s="1" t="s">
        <v>31</v>
      </c>
      <c r="E65" s="1" t="s">
        <v>31</v>
      </c>
      <c r="F65" s="1" t="s">
        <v>31</v>
      </c>
      <c r="G65" s="1" t="s">
        <v>101</v>
      </c>
      <c r="H65" s="1" t="s">
        <v>31</v>
      </c>
      <c r="J65" s="1" t="s">
        <v>101</v>
      </c>
      <c r="K65" s="1" t="s">
        <v>101</v>
      </c>
      <c r="L65" s="1" t="s">
        <v>101</v>
      </c>
      <c r="M65" s="1" t="s">
        <v>101</v>
      </c>
      <c r="N65" s="1" t="s">
        <v>101</v>
      </c>
      <c r="O65" s="1" t="s">
        <v>101</v>
      </c>
      <c r="P65" s="1" t="s">
        <v>101</v>
      </c>
      <c r="Q65" s="1" t="s">
        <v>101</v>
      </c>
      <c r="R65" s="1" t="s">
        <v>73</v>
      </c>
      <c r="X65" s="3" t="s">
        <v>73</v>
      </c>
      <c r="Y65" s="3"/>
      <c r="Z65" s="3"/>
      <c r="AA65" s="3" t="s">
        <v>73</v>
      </c>
      <c r="AB65" s="3"/>
      <c r="AC65" s="3"/>
      <c r="AD65" s="3"/>
      <c r="AE65" s="3"/>
      <c r="AF65" s="3"/>
      <c r="AG65" s="3"/>
      <c r="AH65" s="3" t="s">
        <v>73</v>
      </c>
      <c r="AI65" s="1" t="s">
        <v>31</v>
      </c>
      <c r="AJ65" s="1" t="s">
        <v>101</v>
      </c>
      <c r="AM65" s="1" t="s">
        <v>101</v>
      </c>
      <c r="AN65" s="1" t="s">
        <v>101</v>
      </c>
      <c r="AO65" s="1" t="s">
        <v>101</v>
      </c>
      <c r="AP65" s="1" t="s">
        <v>101</v>
      </c>
      <c r="AQ65" s="1" t="s">
        <v>101</v>
      </c>
      <c r="AR65" s="1" t="s">
        <v>101</v>
      </c>
      <c r="AS65" s="1" t="s">
        <v>101</v>
      </c>
      <c r="AT65" s="1" t="s">
        <v>101</v>
      </c>
      <c r="AU65" s="1" t="s">
        <v>101</v>
      </c>
      <c r="AX65" s="1" t="s">
        <v>101</v>
      </c>
      <c r="AY65" s="1" t="s">
        <v>101</v>
      </c>
      <c r="AZ65" s="1" t="s">
        <v>101</v>
      </c>
      <c r="BA65" s="1" t="s">
        <v>101</v>
      </c>
      <c r="BB65" s="1" t="s">
        <v>101</v>
      </c>
      <c r="BC65" s="1" t="s">
        <v>101</v>
      </c>
      <c r="BD65" s="1" t="s">
        <v>101</v>
      </c>
      <c r="BE65" s="1" t="s">
        <v>101</v>
      </c>
      <c r="BU65" s="3" t="s">
        <v>73</v>
      </c>
      <c r="BV65" s="3"/>
      <c r="BX65" s="3" t="s">
        <v>73</v>
      </c>
      <c r="BY65" s="3"/>
      <c r="BZ65" s="3"/>
      <c r="CA65" s="3"/>
      <c r="CB65" s="3"/>
      <c r="CC65" s="3"/>
      <c r="CD65" s="3"/>
      <c r="CE65" s="3" t="s">
        <v>73</v>
      </c>
    </row>
    <row r="66" spans="2:83">
      <c r="B66" s="1" t="s">
        <v>114</v>
      </c>
      <c r="C66" s="1" t="s">
        <v>114</v>
      </c>
      <c r="D66" s="1" t="s">
        <v>114</v>
      </c>
      <c r="E66" s="1" t="s">
        <v>114</v>
      </c>
      <c r="F66" s="1" t="s">
        <v>114</v>
      </c>
      <c r="G66" s="1" t="s">
        <v>31</v>
      </c>
      <c r="H66" s="1" t="s">
        <v>114</v>
      </c>
      <c r="J66" s="1" t="s">
        <v>31</v>
      </c>
      <c r="K66" s="1" t="s">
        <v>31</v>
      </c>
      <c r="L66" s="1" t="s">
        <v>31</v>
      </c>
      <c r="M66" s="1" t="s">
        <v>31</v>
      </c>
      <c r="N66" s="1" t="s">
        <v>31</v>
      </c>
      <c r="O66" s="1" t="s">
        <v>31</v>
      </c>
      <c r="P66" s="1" t="s">
        <v>31</v>
      </c>
      <c r="Q66" s="1" t="s">
        <v>31</v>
      </c>
      <c r="R66" s="1" t="s">
        <v>168</v>
      </c>
      <c r="X66" s="1" t="s">
        <v>168</v>
      </c>
      <c r="AA66" s="1" t="s">
        <v>168</v>
      </c>
      <c r="AE66" s="3"/>
      <c r="AF66" s="3"/>
      <c r="AG66" s="3"/>
      <c r="AH66" s="1" t="s">
        <v>168</v>
      </c>
      <c r="AI66" s="1" t="s">
        <v>114</v>
      </c>
      <c r="AJ66" s="1" t="s">
        <v>31</v>
      </c>
      <c r="AM66" s="1" t="s">
        <v>31</v>
      </c>
      <c r="AN66" s="1" t="s">
        <v>31</v>
      </c>
      <c r="AO66" s="1" t="s">
        <v>31</v>
      </c>
      <c r="AP66" s="1" t="s">
        <v>31</v>
      </c>
      <c r="AQ66" s="1" t="s">
        <v>31</v>
      </c>
      <c r="AR66" s="1" t="s">
        <v>31</v>
      </c>
      <c r="AS66" s="1" t="s">
        <v>31</v>
      </c>
      <c r="AT66" s="1" t="s">
        <v>31</v>
      </c>
      <c r="AU66" s="1" t="s">
        <v>31</v>
      </c>
      <c r="AX66" s="1" t="s">
        <v>31</v>
      </c>
      <c r="AY66" s="1" t="s">
        <v>31</v>
      </c>
      <c r="AZ66" s="1" t="s">
        <v>31</v>
      </c>
      <c r="BA66" s="1" t="s">
        <v>31</v>
      </c>
      <c r="BB66" s="1" t="s">
        <v>31</v>
      </c>
      <c r="BC66" s="1" t="s">
        <v>31</v>
      </c>
      <c r="BD66" s="1" t="s">
        <v>31</v>
      </c>
      <c r="BE66" s="1" t="s">
        <v>31</v>
      </c>
      <c r="BU66" s="1" t="s">
        <v>168</v>
      </c>
      <c r="BX66" s="1" t="s">
        <v>168</v>
      </c>
      <c r="CB66" s="3"/>
      <c r="CC66" s="3"/>
      <c r="CD66" s="3"/>
      <c r="CE66" s="1" t="s">
        <v>168</v>
      </c>
    </row>
    <row r="67" spans="2:83">
      <c r="B67" s="1" t="s">
        <v>52</v>
      </c>
      <c r="C67" s="1" t="s">
        <v>52</v>
      </c>
      <c r="D67" s="1" t="s">
        <v>52</v>
      </c>
      <c r="E67" s="1" t="s">
        <v>52</v>
      </c>
      <c r="F67" s="1" t="s">
        <v>52</v>
      </c>
      <c r="G67" s="1" t="s">
        <v>33</v>
      </c>
      <c r="H67" s="1" t="s">
        <v>52</v>
      </c>
      <c r="J67" s="1" t="s">
        <v>33</v>
      </c>
      <c r="K67" s="1" t="s">
        <v>33</v>
      </c>
      <c r="L67" s="1" t="s">
        <v>33</v>
      </c>
      <c r="M67" s="1" t="s">
        <v>33</v>
      </c>
      <c r="N67" s="1" t="s">
        <v>33</v>
      </c>
      <c r="O67" s="1" t="s">
        <v>33</v>
      </c>
      <c r="P67" s="1" t="s">
        <v>33</v>
      </c>
      <c r="Q67" s="1" t="s">
        <v>33</v>
      </c>
      <c r="R67" s="1" t="s">
        <v>169</v>
      </c>
      <c r="X67" s="1" t="s">
        <v>169</v>
      </c>
      <c r="AA67" s="1" t="s">
        <v>169</v>
      </c>
      <c r="AE67" s="3"/>
      <c r="AF67" s="3"/>
      <c r="AG67" s="3"/>
      <c r="AH67" s="1" t="s">
        <v>169</v>
      </c>
      <c r="AI67" s="1" t="s">
        <v>52</v>
      </c>
      <c r="AJ67" s="1" t="s">
        <v>33</v>
      </c>
      <c r="AM67" s="1" t="s">
        <v>33</v>
      </c>
      <c r="AN67" s="1" t="s">
        <v>33</v>
      </c>
      <c r="AO67" s="1" t="s">
        <v>33</v>
      </c>
      <c r="AP67" s="1" t="s">
        <v>33</v>
      </c>
      <c r="AQ67" s="1" t="s">
        <v>33</v>
      </c>
      <c r="AR67" s="1" t="s">
        <v>33</v>
      </c>
      <c r="AS67" s="1" t="s">
        <v>33</v>
      </c>
      <c r="AT67" s="1" t="s">
        <v>33</v>
      </c>
      <c r="AU67" s="1" t="s">
        <v>33</v>
      </c>
      <c r="AX67" s="1" t="s">
        <v>33</v>
      </c>
      <c r="AY67" s="1" t="s">
        <v>33</v>
      </c>
      <c r="AZ67" s="1" t="s">
        <v>33</v>
      </c>
      <c r="BA67" s="1" t="s">
        <v>33</v>
      </c>
      <c r="BB67" s="1" t="s">
        <v>33</v>
      </c>
      <c r="BC67" s="1" t="s">
        <v>33</v>
      </c>
      <c r="BD67" s="1" t="s">
        <v>33</v>
      </c>
      <c r="BE67" s="1" t="s">
        <v>33</v>
      </c>
      <c r="BU67" s="1" t="s">
        <v>169</v>
      </c>
      <c r="BX67" s="1" t="s">
        <v>169</v>
      </c>
      <c r="CB67" s="3"/>
      <c r="CC67" s="3"/>
      <c r="CD67" s="3"/>
      <c r="CE67" s="1" t="s">
        <v>169</v>
      </c>
    </row>
    <row r="68" spans="2:83">
      <c r="B68" s="1" t="s">
        <v>113</v>
      </c>
      <c r="C68" s="1" t="s">
        <v>113</v>
      </c>
      <c r="D68" s="1" t="s">
        <v>113</v>
      </c>
      <c r="E68" s="1" t="s">
        <v>113</v>
      </c>
      <c r="F68" s="1" t="s">
        <v>113</v>
      </c>
      <c r="G68" s="1" t="s">
        <v>102</v>
      </c>
      <c r="H68" s="1" t="s">
        <v>113</v>
      </c>
      <c r="J68" s="1" t="s">
        <v>102</v>
      </c>
      <c r="K68" s="1" t="s">
        <v>102</v>
      </c>
      <c r="L68" s="1" t="s">
        <v>102</v>
      </c>
      <c r="M68" s="1" t="s">
        <v>102</v>
      </c>
      <c r="N68" s="1" t="s">
        <v>102</v>
      </c>
      <c r="O68" s="1" t="s">
        <v>102</v>
      </c>
      <c r="P68" s="1" t="s">
        <v>102</v>
      </c>
      <c r="Q68" s="1" t="s">
        <v>102</v>
      </c>
      <c r="R68" s="1" t="s">
        <v>170</v>
      </c>
      <c r="X68" s="1" t="s">
        <v>170</v>
      </c>
      <c r="AA68" s="1" t="s">
        <v>170</v>
      </c>
      <c r="AE68" s="3"/>
      <c r="AF68" s="3"/>
      <c r="AG68" s="3"/>
      <c r="AH68" s="1" t="s">
        <v>170</v>
      </c>
      <c r="AI68" s="1" t="s">
        <v>113</v>
      </c>
      <c r="AJ68" s="1" t="s">
        <v>102</v>
      </c>
      <c r="AM68" s="1" t="s">
        <v>102</v>
      </c>
      <c r="AN68" s="1" t="s">
        <v>102</v>
      </c>
      <c r="AO68" s="1" t="s">
        <v>102</v>
      </c>
      <c r="AP68" s="1" t="s">
        <v>102</v>
      </c>
      <c r="AQ68" s="1" t="s">
        <v>102</v>
      </c>
      <c r="AR68" s="1" t="s">
        <v>102</v>
      </c>
      <c r="AS68" s="1" t="s">
        <v>102</v>
      </c>
      <c r="AT68" s="1" t="s">
        <v>102</v>
      </c>
      <c r="AU68" s="1" t="s">
        <v>102</v>
      </c>
      <c r="AX68" s="1" t="s">
        <v>102</v>
      </c>
      <c r="AY68" s="1" t="s">
        <v>102</v>
      </c>
      <c r="AZ68" s="1" t="s">
        <v>102</v>
      </c>
      <c r="BA68" s="1" t="s">
        <v>102</v>
      </c>
      <c r="BB68" s="1" t="s">
        <v>102</v>
      </c>
      <c r="BC68" s="1" t="s">
        <v>102</v>
      </c>
      <c r="BD68" s="1" t="s">
        <v>102</v>
      </c>
      <c r="BE68" s="1" t="s">
        <v>102</v>
      </c>
      <c r="BU68" s="1" t="s">
        <v>170</v>
      </c>
      <c r="BX68" s="1" t="s">
        <v>170</v>
      </c>
      <c r="CB68" s="3"/>
      <c r="CC68" s="3"/>
      <c r="CD68" s="3"/>
      <c r="CE68" s="1" t="s">
        <v>170</v>
      </c>
    </row>
    <row r="69" spans="2:83">
      <c r="B69" s="1" t="s">
        <v>112</v>
      </c>
      <c r="C69" s="1" t="s">
        <v>112</v>
      </c>
      <c r="D69" s="1" t="s">
        <v>112</v>
      </c>
      <c r="E69" s="1" t="s">
        <v>112</v>
      </c>
      <c r="F69" s="1" t="s">
        <v>112</v>
      </c>
      <c r="G69" s="1" t="s">
        <v>51</v>
      </c>
      <c r="H69" s="1" t="s">
        <v>112</v>
      </c>
      <c r="J69" s="1" t="s">
        <v>51</v>
      </c>
      <c r="K69" s="1" t="s">
        <v>51</v>
      </c>
      <c r="L69" s="1" t="s">
        <v>51</v>
      </c>
      <c r="M69" s="1" t="s">
        <v>51</v>
      </c>
      <c r="N69" s="1" t="s">
        <v>51</v>
      </c>
      <c r="O69" s="1" t="s">
        <v>51</v>
      </c>
      <c r="P69" s="1" t="s">
        <v>51</v>
      </c>
      <c r="Q69" s="1" t="s">
        <v>51</v>
      </c>
      <c r="R69" s="1" t="s">
        <v>39</v>
      </c>
      <c r="X69" s="1" t="s">
        <v>39</v>
      </c>
      <c r="AA69" s="1" t="s">
        <v>39</v>
      </c>
      <c r="AE69" s="3"/>
      <c r="AF69" s="3"/>
      <c r="AG69" s="3"/>
      <c r="AH69" s="1" t="s">
        <v>39</v>
      </c>
      <c r="AI69" s="1" t="s">
        <v>112</v>
      </c>
      <c r="AJ69" s="1" t="s">
        <v>51</v>
      </c>
      <c r="AM69" s="1" t="s">
        <v>51</v>
      </c>
      <c r="AN69" s="1" t="s">
        <v>51</v>
      </c>
      <c r="AO69" s="1" t="s">
        <v>51</v>
      </c>
      <c r="AP69" s="1" t="s">
        <v>51</v>
      </c>
      <c r="AQ69" s="1" t="s">
        <v>51</v>
      </c>
      <c r="AR69" s="1" t="s">
        <v>51</v>
      </c>
      <c r="AS69" s="1" t="s">
        <v>51</v>
      </c>
      <c r="AT69" s="1" t="s">
        <v>51</v>
      </c>
      <c r="AU69" s="1" t="s">
        <v>51</v>
      </c>
      <c r="AX69" s="1" t="s">
        <v>51</v>
      </c>
      <c r="AY69" s="1" t="s">
        <v>51</v>
      </c>
      <c r="AZ69" s="1" t="s">
        <v>51</v>
      </c>
      <c r="BA69" s="1" t="s">
        <v>51</v>
      </c>
      <c r="BB69" s="1" t="s">
        <v>51</v>
      </c>
      <c r="BC69" s="1" t="s">
        <v>51</v>
      </c>
      <c r="BD69" s="1" t="s">
        <v>51</v>
      </c>
      <c r="BE69" s="1" t="s">
        <v>51</v>
      </c>
      <c r="BU69" s="1" t="s">
        <v>39</v>
      </c>
      <c r="BX69" s="1" t="s">
        <v>39</v>
      </c>
      <c r="CB69" s="3"/>
      <c r="CC69" s="3"/>
      <c r="CD69" s="3"/>
      <c r="CE69" s="1" t="s">
        <v>39</v>
      </c>
    </row>
    <row r="70" spans="2:83">
      <c r="B70" s="1" t="s">
        <v>111</v>
      </c>
      <c r="C70" s="1" t="s">
        <v>110</v>
      </c>
      <c r="D70" s="1" t="s">
        <v>109</v>
      </c>
      <c r="E70" s="1" t="s">
        <v>59</v>
      </c>
      <c r="F70" s="1" t="s">
        <v>61</v>
      </c>
      <c r="G70" s="1" t="s">
        <v>103</v>
      </c>
      <c r="H70" s="1" t="s">
        <v>40</v>
      </c>
      <c r="J70" s="1" t="s">
        <v>103</v>
      </c>
      <c r="K70" s="1" t="s">
        <v>103</v>
      </c>
      <c r="L70" s="1" t="s">
        <v>103</v>
      </c>
      <c r="M70" s="1" t="s">
        <v>103</v>
      </c>
      <c r="N70" s="1" t="s">
        <v>103</v>
      </c>
      <c r="O70" s="1" t="s">
        <v>103</v>
      </c>
      <c r="P70" s="1" t="s">
        <v>103</v>
      </c>
      <c r="Q70" s="1" t="s">
        <v>103</v>
      </c>
      <c r="R70" s="1" t="s">
        <v>171</v>
      </c>
      <c r="X70" s="1" t="s">
        <v>171</v>
      </c>
      <c r="AA70" s="1" t="s">
        <v>171</v>
      </c>
      <c r="AE70" s="3"/>
      <c r="AF70" s="3"/>
      <c r="AG70" s="3"/>
      <c r="AH70" s="1" t="s">
        <v>171</v>
      </c>
      <c r="AI70" s="1" t="s">
        <v>61</v>
      </c>
      <c r="AJ70" s="1" t="s">
        <v>103</v>
      </c>
      <c r="AM70" s="1" t="s">
        <v>103</v>
      </c>
      <c r="AN70" s="1" t="s">
        <v>103</v>
      </c>
      <c r="AO70" s="1" t="s">
        <v>103</v>
      </c>
      <c r="AP70" s="1" t="s">
        <v>103</v>
      </c>
      <c r="AQ70" s="1" t="s">
        <v>103</v>
      </c>
      <c r="AR70" s="1" t="s">
        <v>103</v>
      </c>
      <c r="AS70" s="1" t="s">
        <v>103</v>
      </c>
      <c r="AT70" s="1" t="s">
        <v>103</v>
      </c>
      <c r="AU70" s="1" t="s">
        <v>103</v>
      </c>
      <c r="AX70" s="1" t="s">
        <v>103</v>
      </c>
      <c r="AY70" s="1" t="s">
        <v>103</v>
      </c>
      <c r="AZ70" s="1" t="s">
        <v>103</v>
      </c>
      <c r="BA70" s="1" t="s">
        <v>103</v>
      </c>
      <c r="BB70" s="1" t="s">
        <v>103</v>
      </c>
      <c r="BC70" s="1" t="s">
        <v>103</v>
      </c>
      <c r="BD70" s="1" t="s">
        <v>103</v>
      </c>
      <c r="BE70" s="1" t="s">
        <v>103</v>
      </c>
      <c r="BU70" s="1" t="s">
        <v>171</v>
      </c>
      <c r="BX70" s="1" t="s">
        <v>171</v>
      </c>
      <c r="CB70" s="3"/>
      <c r="CC70" s="3"/>
      <c r="CD70" s="3"/>
      <c r="CE70" s="1" t="s">
        <v>171</v>
      </c>
    </row>
    <row r="71" spans="2:83">
      <c r="G71" s="1" t="s">
        <v>104</v>
      </c>
      <c r="H71" s="1" t="s">
        <v>42</v>
      </c>
      <c r="J71" s="1" t="s">
        <v>104</v>
      </c>
      <c r="K71" s="1" t="s">
        <v>104</v>
      </c>
      <c r="L71" s="1" t="s">
        <v>104</v>
      </c>
      <c r="M71" s="1" t="s">
        <v>104</v>
      </c>
      <c r="N71" s="1" t="s">
        <v>104</v>
      </c>
      <c r="O71" s="1" t="s">
        <v>104</v>
      </c>
      <c r="P71" s="1" t="s">
        <v>104</v>
      </c>
      <c r="Q71" s="1" t="s">
        <v>104</v>
      </c>
      <c r="R71" s="1" t="s">
        <v>172</v>
      </c>
      <c r="X71" s="1" t="s">
        <v>214</v>
      </c>
      <c r="AA71" s="1" t="s">
        <v>214</v>
      </c>
      <c r="AE71" s="3"/>
      <c r="AF71" s="3"/>
      <c r="AG71" s="3"/>
      <c r="AH71" s="1" t="s">
        <v>214</v>
      </c>
      <c r="AJ71" s="1" t="s">
        <v>104</v>
      </c>
      <c r="AM71" s="1" t="s">
        <v>104</v>
      </c>
      <c r="AN71" s="1" t="s">
        <v>104</v>
      </c>
      <c r="AO71" s="1" t="s">
        <v>104</v>
      </c>
      <c r="AP71" s="1" t="s">
        <v>104</v>
      </c>
      <c r="AQ71" s="1" t="s">
        <v>104</v>
      </c>
      <c r="AR71" s="1" t="s">
        <v>104</v>
      </c>
      <c r="AS71" s="1" t="s">
        <v>104</v>
      </c>
      <c r="AT71" s="1" t="s">
        <v>104</v>
      </c>
      <c r="AU71" s="1" t="s">
        <v>104</v>
      </c>
      <c r="AX71" s="1" t="s">
        <v>104</v>
      </c>
      <c r="AY71" s="1" t="s">
        <v>104</v>
      </c>
      <c r="AZ71" s="1" t="s">
        <v>104</v>
      </c>
      <c r="BA71" s="1" t="s">
        <v>104</v>
      </c>
      <c r="BB71" s="1" t="s">
        <v>104</v>
      </c>
      <c r="BC71" s="1" t="s">
        <v>104</v>
      </c>
      <c r="BD71" s="1" t="s">
        <v>104</v>
      </c>
      <c r="BE71" s="1" t="s">
        <v>104</v>
      </c>
      <c r="BU71" s="1" t="s">
        <v>214</v>
      </c>
      <c r="BX71" s="1" t="s">
        <v>214</v>
      </c>
      <c r="CB71" s="3"/>
      <c r="CC71" s="3"/>
      <c r="CD71" s="3"/>
      <c r="CE71" s="1" t="s">
        <v>214</v>
      </c>
    </row>
    <row r="72" spans="2:83">
      <c r="G72" s="1" t="s">
        <v>10</v>
      </c>
      <c r="J72" s="1" t="s">
        <v>13</v>
      </c>
      <c r="K72" s="1" t="s">
        <v>65</v>
      </c>
      <c r="L72" s="1" t="s">
        <v>14</v>
      </c>
      <c r="M72" s="1" t="s">
        <v>66</v>
      </c>
      <c r="N72" s="1" t="s">
        <v>48</v>
      </c>
      <c r="O72" s="1" t="s">
        <v>77</v>
      </c>
      <c r="P72" s="1" t="s">
        <v>123</v>
      </c>
      <c r="Q72" s="1" t="s">
        <v>160</v>
      </c>
      <c r="R72" s="1" t="s">
        <v>173</v>
      </c>
      <c r="X72" s="1" t="s">
        <v>215</v>
      </c>
      <c r="AA72" s="1" t="s">
        <v>215</v>
      </c>
      <c r="AE72" s="3"/>
      <c r="AF72" s="3"/>
      <c r="AG72" s="3"/>
      <c r="AH72" s="1" t="s">
        <v>215</v>
      </c>
      <c r="AJ72" s="1" t="s">
        <v>10</v>
      </c>
      <c r="AM72" s="1" t="s">
        <v>13</v>
      </c>
      <c r="AN72" s="1" t="s">
        <v>65</v>
      </c>
      <c r="AO72" s="1" t="s">
        <v>14</v>
      </c>
      <c r="AP72" s="1" t="s">
        <v>66</v>
      </c>
      <c r="AQ72" s="1" t="s">
        <v>48</v>
      </c>
      <c r="AR72" s="1" t="s">
        <v>77</v>
      </c>
      <c r="AS72" s="1" t="s">
        <v>123</v>
      </c>
      <c r="AT72" s="1" t="s">
        <v>160</v>
      </c>
      <c r="AU72" s="1" t="s">
        <v>10</v>
      </c>
      <c r="AX72" s="1" t="s">
        <v>13</v>
      </c>
      <c r="AY72" s="1" t="s">
        <v>65</v>
      </c>
      <c r="AZ72" s="1" t="s">
        <v>14</v>
      </c>
      <c r="BA72" s="1" t="s">
        <v>66</v>
      </c>
      <c r="BB72" s="1" t="s">
        <v>48</v>
      </c>
      <c r="BC72" s="1" t="s">
        <v>77</v>
      </c>
      <c r="BD72" s="1" t="s">
        <v>123</v>
      </c>
      <c r="BE72" s="1" t="s">
        <v>160</v>
      </c>
      <c r="BU72" s="1" t="s">
        <v>215</v>
      </c>
      <c r="BX72" s="1" t="s">
        <v>215</v>
      </c>
      <c r="CB72" s="3"/>
      <c r="CC72" s="3"/>
      <c r="CD72" s="3"/>
      <c r="CE72" s="1" t="s">
        <v>215</v>
      </c>
    </row>
    <row r="73" spans="2:83">
      <c r="R73" s="1" t="s">
        <v>174</v>
      </c>
      <c r="X73" s="1" t="s">
        <v>216</v>
      </c>
      <c r="AA73" s="1" t="s">
        <v>216</v>
      </c>
      <c r="AE73" s="3"/>
      <c r="AF73" s="3"/>
      <c r="AG73" s="3"/>
      <c r="AH73" s="1" t="s">
        <v>216</v>
      </c>
      <c r="BU73" s="1" t="s">
        <v>216</v>
      </c>
      <c r="BX73" s="1" t="s">
        <v>216</v>
      </c>
      <c r="CB73" s="3"/>
      <c r="CC73" s="3"/>
      <c r="CD73" s="3"/>
      <c r="CE73" s="1" t="s">
        <v>216</v>
      </c>
    </row>
    <row r="74" spans="2:83">
      <c r="R74" s="1" t="s">
        <v>175</v>
      </c>
      <c r="X74" s="1" t="s">
        <v>217</v>
      </c>
      <c r="AA74" s="1" t="s">
        <v>225</v>
      </c>
      <c r="AE74" s="3"/>
      <c r="AF74" s="3"/>
      <c r="AG74" s="3"/>
      <c r="AH74" s="1" t="s">
        <v>237</v>
      </c>
      <c r="BU74" s="1" t="s">
        <v>217</v>
      </c>
      <c r="BX74" s="1" t="s">
        <v>225</v>
      </c>
      <c r="CB74" s="3"/>
      <c r="CC74" s="3"/>
      <c r="CD74" s="3"/>
      <c r="CE74" s="1" t="s">
        <v>237</v>
      </c>
    </row>
    <row r="75" spans="2:83">
      <c r="R75" s="1" t="s">
        <v>176</v>
      </c>
      <c r="X75" s="1" t="s">
        <v>176</v>
      </c>
      <c r="AA75" s="1" t="s">
        <v>176</v>
      </c>
      <c r="AE75" s="3"/>
      <c r="AF75" s="3"/>
      <c r="AG75" s="3"/>
      <c r="AH75" s="1" t="s">
        <v>176</v>
      </c>
      <c r="BU75" s="1" t="s">
        <v>176</v>
      </c>
      <c r="BX75" s="1" t="s">
        <v>176</v>
      </c>
      <c r="CB75" s="3"/>
      <c r="CC75" s="3"/>
      <c r="CD75" s="3"/>
      <c r="CE75" s="1" t="s">
        <v>176</v>
      </c>
    </row>
    <row r="76" spans="2:83">
      <c r="AE76" s="3"/>
      <c r="AF76" s="3"/>
      <c r="AG76" s="3"/>
      <c r="AH76" s="3"/>
      <c r="CB76" s="3"/>
      <c r="CC76" s="3"/>
      <c r="CD76" s="3"/>
      <c r="CE76" s="3"/>
    </row>
    <row r="77" spans="2:83">
      <c r="AE77" s="3"/>
      <c r="AF77" s="3"/>
      <c r="AG77" s="3"/>
      <c r="AH77" s="3"/>
      <c r="CB77" s="3"/>
      <c r="CC77" s="3"/>
      <c r="CD77" s="3"/>
      <c r="CE77" s="3"/>
    </row>
    <row r="78" spans="2:83">
      <c r="AE78" s="3"/>
      <c r="AF78" s="3"/>
      <c r="AG78" s="3"/>
      <c r="AH78" s="3"/>
      <c r="CB78" s="3"/>
      <c r="CC78" s="3"/>
      <c r="CD78" s="3"/>
      <c r="CE78" s="3"/>
    </row>
    <row r="79" spans="2:83">
      <c r="AE79" s="3"/>
      <c r="AF79" s="3"/>
      <c r="AG79" s="3"/>
      <c r="AH79" s="3"/>
      <c r="CB79" s="3"/>
      <c r="CC79" s="3"/>
      <c r="CD79" s="3"/>
      <c r="CE79" s="3"/>
    </row>
    <row r="80" spans="2:83">
      <c r="AE80" s="3"/>
      <c r="AF80" s="3"/>
      <c r="AG80" s="3"/>
      <c r="AH80" s="3"/>
      <c r="CB80" s="3"/>
      <c r="CC80" s="3"/>
      <c r="CD80" s="3"/>
      <c r="CE80" s="3"/>
    </row>
    <row r="81" spans="31:83">
      <c r="AE81" s="3"/>
      <c r="AF81" s="3"/>
      <c r="AG81" s="3"/>
      <c r="AH81" s="3"/>
      <c r="CB81" s="3"/>
      <c r="CC81" s="3"/>
      <c r="CD81" s="3"/>
      <c r="CE81" s="3"/>
    </row>
    <row r="82" spans="31:83">
      <c r="AE82" s="3"/>
      <c r="AF82" s="3"/>
      <c r="AG82" s="3"/>
      <c r="AH82" s="3"/>
      <c r="CB82" s="3"/>
      <c r="CC82" s="3"/>
      <c r="CD82" s="3"/>
      <c r="CE82" s="3"/>
    </row>
    <row r="83" spans="31:83">
      <c r="AE83" s="3"/>
      <c r="AF83" s="3"/>
      <c r="AG83" s="3"/>
      <c r="AH83" s="3"/>
      <c r="CB83" s="3"/>
      <c r="CC83" s="3"/>
      <c r="CD83" s="3"/>
      <c r="CE83" s="3"/>
    </row>
    <row r="84" spans="31:83">
      <c r="AE84" s="3"/>
      <c r="AF84" s="3"/>
      <c r="AG84" s="3"/>
      <c r="AH84" s="3"/>
      <c r="CB84" s="3"/>
      <c r="CC84" s="3"/>
      <c r="CD84" s="3"/>
      <c r="CE84" s="3"/>
    </row>
  </sheetData>
  <phoneticPr fontId="8" type="noConversion"/>
  <hyperlinks>
    <hyperlink ref="BU75" r:id="rId1" display="www.nces.ed.gov" xr:uid="{00000000-0004-0000-0500-000000000000}"/>
    <hyperlink ref="X75" r:id="rId2" display="www.nces.ed.gov" xr:uid="{00000000-0004-0000-0500-000001000000}"/>
    <hyperlink ref="AA75" r:id="rId3" display="www.nces.ed.gov" xr:uid="{00000000-0004-0000-0500-000002000000}"/>
    <hyperlink ref="BX75" r:id="rId4" display="www.nces.ed.gov" xr:uid="{00000000-0004-0000-0500-000003000000}"/>
    <hyperlink ref="AH75" r:id="rId5" display="www.nces.ed.gov" xr:uid="{71C788E1-42CB-45D2-AFB7-4C04494BD05C}"/>
    <hyperlink ref="CE75" r:id="rId6" display="www.nces.ed.gov" xr:uid="{F8653658-1EB1-413C-8233-3BF52AC8CB44}"/>
  </hyperlinks>
  <pageMargins left="0.75" right="0.75" top="1" bottom="1" header="0.5" footer="0.5"/>
  <pageSetup orientation="portrait" r:id="rId7"/>
  <headerFooter alignWithMargins="0"/>
  <legacyDrawing r:id="rId8"/>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62"/>
  </sheetPr>
  <dimension ref="A1:BE92"/>
  <sheetViews>
    <sheetView zoomScale="90" zoomScaleNormal="90" workbookViewId="0">
      <pane xSplit="1" ySplit="3" topLeftCell="AL4" activePane="bottomRight" state="frozen"/>
      <selection pane="topRight" activeCell="B1" sqref="B1"/>
      <selection pane="bottomLeft" activeCell="A4" sqref="A4"/>
      <selection pane="bottomRight" activeCell="BD3" sqref="BD3"/>
    </sheetView>
  </sheetViews>
  <sheetFormatPr defaultColWidth="9.81640625" defaultRowHeight="12.5"/>
  <cols>
    <col min="1" max="1" width="20.81640625" style="1" customWidth="1"/>
    <col min="2" max="25" width="7.81640625" style="1" customWidth="1"/>
    <col min="26" max="29" width="8.81640625" style="1" customWidth="1"/>
    <col min="30" max="48" width="7.81640625" style="1" customWidth="1"/>
    <col min="49" max="53" width="9.81640625" style="1"/>
    <col min="54" max="57" width="8.81640625" style="1" customWidth="1"/>
    <col min="58" max="16384" width="9.81640625" style="1"/>
  </cols>
  <sheetData>
    <row r="1" spans="1:57" ht="13">
      <c r="A1" s="7" t="s">
        <v>105</v>
      </c>
      <c r="B1" s="57"/>
      <c r="AD1" s="57"/>
    </row>
    <row r="2" spans="1:57" ht="13">
      <c r="B2" s="58" t="s">
        <v>121</v>
      </c>
      <c r="C2" s="8"/>
      <c r="D2" s="8"/>
      <c r="E2" s="8"/>
      <c r="F2" s="8"/>
      <c r="G2" s="8"/>
      <c r="H2" s="8"/>
      <c r="I2" s="8"/>
      <c r="J2" s="8"/>
      <c r="K2" s="8"/>
      <c r="L2" s="8"/>
      <c r="Z2" s="131"/>
      <c r="AA2" s="132"/>
      <c r="AB2" s="6"/>
      <c r="AC2" s="117"/>
      <c r="AD2" s="7" t="s">
        <v>120</v>
      </c>
      <c r="AE2" s="8"/>
      <c r="AF2" s="8"/>
      <c r="AG2" s="8"/>
      <c r="AH2" s="8"/>
      <c r="AI2" s="8"/>
      <c r="AJ2" s="8"/>
      <c r="AK2" s="8"/>
      <c r="BD2" s="112"/>
      <c r="BE2" s="6"/>
    </row>
    <row r="3" spans="1:57" s="7" customFormat="1" ht="13">
      <c r="A3" s="33"/>
      <c r="B3" s="87" t="s">
        <v>10</v>
      </c>
      <c r="C3" s="31" t="s">
        <v>11</v>
      </c>
      <c r="D3" s="31" t="s">
        <v>12</v>
      </c>
      <c r="E3" s="31" t="s">
        <v>13</v>
      </c>
      <c r="F3" s="31" t="s">
        <v>65</v>
      </c>
      <c r="G3" s="31" t="s">
        <v>14</v>
      </c>
      <c r="H3" s="31" t="s">
        <v>66</v>
      </c>
      <c r="I3" s="31" t="s">
        <v>48</v>
      </c>
      <c r="J3" s="31" t="s">
        <v>77</v>
      </c>
      <c r="K3" s="31" t="s">
        <v>123</v>
      </c>
      <c r="L3" s="31" t="s">
        <v>160</v>
      </c>
      <c r="M3" s="31" t="s">
        <v>167</v>
      </c>
      <c r="N3" s="31" t="s">
        <v>178</v>
      </c>
      <c r="O3" s="31" t="s">
        <v>179</v>
      </c>
      <c r="P3" s="31" t="s">
        <v>181</v>
      </c>
      <c r="Q3" s="31" t="s">
        <v>192</v>
      </c>
      <c r="R3" s="31" t="s">
        <v>205</v>
      </c>
      <c r="S3" s="31" t="s">
        <v>207</v>
      </c>
      <c r="T3" s="31" t="s">
        <v>222</v>
      </c>
      <c r="U3" s="31" t="s">
        <v>223</v>
      </c>
      <c r="V3" s="31" t="s">
        <v>224</v>
      </c>
      <c r="W3" s="31" t="s">
        <v>226</v>
      </c>
      <c r="X3" s="119" t="s">
        <v>228</v>
      </c>
      <c r="Y3" s="31" t="s">
        <v>229</v>
      </c>
      <c r="Z3" s="118" t="s">
        <v>231</v>
      </c>
      <c r="AA3" s="118" t="s">
        <v>232</v>
      </c>
      <c r="AB3" s="118" t="s">
        <v>235</v>
      </c>
      <c r="AC3" s="95" t="s">
        <v>236</v>
      </c>
      <c r="AD3" s="87" t="s">
        <v>10</v>
      </c>
      <c r="AE3" s="31" t="s">
        <v>11</v>
      </c>
      <c r="AF3" s="31" t="s">
        <v>12</v>
      </c>
      <c r="AG3" s="31" t="s">
        <v>13</v>
      </c>
      <c r="AH3" s="31" t="s">
        <v>65</v>
      </c>
      <c r="AI3" s="31" t="s">
        <v>14</v>
      </c>
      <c r="AJ3" s="31" t="s">
        <v>66</v>
      </c>
      <c r="AK3" s="31" t="s">
        <v>48</v>
      </c>
      <c r="AL3" s="31" t="s">
        <v>77</v>
      </c>
      <c r="AM3" s="31" t="s">
        <v>123</v>
      </c>
      <c r="AN3" s="31" t="s">
        <v>160</v>
      </c>
      <c r="AO3" s="31" t="s">
        <v>167</v>
      </c>
      <c r="AP3" s="31" t="s">
        <v>178</v>
      </c>
      <c r="AQ3" s="31" t="s">
        <v>179</v>
      </c>
      <c r="AR3" s="31" t="s">
        <v>181</v>
      </c>
      <c r="AS3" s="31" t="s">
        <v>192</v>
      </c>
      <c r="AT3" s="31" t="s">
        <v>205</v>
      </c>
      <c r="AU3" s="31" t="s">
        <v>207</v>
      </c>
      <c r="AV3" s="31" t="s">
        <v>222</v>
      </c>
      <c r="AW3" s="31" t="s">
        <v>223</v>
      </c>
      <c r="AX3" s="116" t="s">
        <v>224</v>
      </c>
      <c r="AY3" s="116" t="s">
        <v>226</v>
      </c>
      <c r="AZ3" s="125" t="s">
        <v>228</v>
      </c>
      <c r="BA3" s="116" t="s">
        <v>229</v>
      </c>
      <c r="BB3" s="118" t="s">
        <v>231</v>
      </c>
      <c r="BC3" s="118" t="s">
        <v>232</v>
      </c>
      <c r="BD3" s="95" t="s">
        <v>235</v>
      </c>
      <c r="BE3" s="110" t="s">
        <v>236</v>
      </c>
    </row>
    <row r="4" spans="1:57" ht="12.75" customHeight="1">
      <c r="A4" s="35" t="s">
        <v>208</v>
      </c>
      <c r="B4" s="59">
        <f>B5+B23+B38+B52+B63</f>
        <v>721</v>
      </c>
      <c r="C4" s="36">
        <f>388+250</f>
        <v>638</v>
      </c>
      <c r="D4" s="36">
        <f>468+320</f>
        <v>788</v>
      </c>
      <c r="E4" s="36">
        <f t="shared" ref="E4:S4" si="0">E5+E23+E38+E52+E63</f>
        <v>798</v>
      </c>
      <c r="F4" s="36">
        <f t="shared" si="0"/>
        <v>804</v>
      </c>
      <c r="G4" s="36">
        <f t="shared" si="0"/>
        <v>870</v>
      </c>
      <c r="H4" s="36">
        <f t="shared" si="0"/>
        <v>943</v>
      </c>
      <c r="I4" s="36">
        <f t="shared" si="0"/>
        <v>950</v>
      </c>
      <c r="J4" s="36">
        <f t="shared" si="0"/>
        <v>1068</v>
      </c>
      <c r="K4" s="36">
        <f t="shared" si="0"/>
        <v>1214</v>
      </c>
      <c r="L4" s="36">
        <f t="shared" si="0"/>
        <v>1243</v>
      </c>
      <c r="M4" s="36">
        <f t="shared" si="0"/>
        <v>1457</v>
      </c>
      <c r="N4" s="36">
        <f t="shared" si="0"/>
        <v>1557</v>
      </c>
      <c r="O4" s="36">
        <f t="shared" si="0"/>
        <v>1692</v>
      </c>
      <c r="P4" s="36">
        <f t="shared" si="0"/>
        <v>1732</v>
      </c>
      <c r="Q4" s="36">
        <f t="shared" si="0"/>
        <v>1872</v>
      </c>
      <c r="R4" s="36">
        <f t="shared" si="0"/>
        <v>2032</v>
      </c>
      <c r="S4" s="36">
        <f t="shared" si="0"/>
        <v>2116</v>
      </c>
      <c r="T4" s="36">
        <f t="shared" ref="T4:U4" si="1">T5+T23+T38+T52+T63</f>
        <v>2066</v>
      </c>
      <c r="U4" s="36">
        <f t="shared" si="1"/>
        <v>2199</v>
      </c>
      <c r="V4" s="36">
        <f t="shared" ref="V4:W4" si="2">V5+V23+V38+V52+V63</f>
        <v>2417</v>
      </c>
      <c r="W4" s="36">
        <f t="shared" si="2"/>
        <v>2569</v>
      </c>
      <c r="X4" s="36">
        <f t="shared" ref="X4:AC4" si="3">X5+X23+X38+X52+X63</f>
        <v>2791</v>
      </c>
      <c r="Y4" s="36">
        <f t="shared" si="3"/>
        <v>3049</v>
      </c>
      <c r="Z4" s="36">
        <f t="shared" si="3"/>
        <v>3269</v>
      </c>
      <c r="AA4" s="36">
        <f t="shared" si="3"/>
        <v>3437</v>
      </c>
      <c r="AB4" s="36">
        <f t="shared" si="3"/>
        <v>3590</v>
      </c>
      <c r="AC4" s="36">
        <f t="shared" si="3"/>
        <v>3808</v>
      </c>
      <c r="AD4" s="59">
        <f>AD5+AD23+AD38+AD52+AD63</f>
        <v>6358</v>
      </c>
      <c r="AE4" s="36">
        <f>AE5+AE23+AE38+AE52+AE63</f>
        <v>1722</v>
      </c>
      <c r="AF4" s="36">
        <f>AF5+AF23+AF38+AF52+AF63</f>
        <v>2749</v>
      </c>
      <c r="AG4" s="36">
        <f t="shared" ref="AG4:AU4" si="4">AG5+AG23+AG38+AG52+AG63</f>
        <v>10791</v>
      </c>
      <c r="AH4" s="36">
        <f t="shared" si="4"/>
        <v>11421</v>
      </c>
      <c r="AI4" s="36">
        <f t="shared" si="4"/>
        <v>11407</v>
      </c>
      <c r="AJ4" s="36">
        <f t="shared" si="4"/>
        <v>11184</v>
      </c>
      <c r="AK4" s="36">
        <f t="shared" si="4"/>
        <v>11435</v>
      </c>
      <c r="AL4" s="36">
        <f t="shared" si="4"/>
        <v>11430</v>
      </c>
      <c r="AM4" s="36">
        <f t="shared" si="4"/>
        <v>11346</v>
      </c>
      <c r="AN4" s="36">
        <f t="shared" si="4"/>
        <v>10089</v>
      </c>
      <c r="AO4" s="36">
        <f t="shared" si="4"/>
        <v>11626</v>
      </c>
      <c r="AP4" s="36">
        <f t="shared" si="4"/>
        <v>12753</v>
      </c>
      <c r="AQ4" s="36">
        <f t="shared" si="4"/>
        <v>14342</v>
      </c>
      <c r="AR4" s="36">
        <f t="shared" si="4"/>
        <v>15968</v>
      </c>
      <c r="AS4" s="36">
        <f t="shared" si="4"/>
        <v>16994</v>
      </c>
      <c r="AT4" s="36">
        <f t="shared" si="4"/>
        <v>17198</v>
      </c>
      <c r="AU4" s="36">
        <f t="shared" si="4"/>
        <v>16703</v>
      </c>
      <c r="AV4" s="36">
        <f t="shared" ref="AV4:AW4" si="5">AV5+AV23+AV38+AV52+AV63</f>
        <v>15636</v>
      </c>
      <c r="AW4" s="36">
        <f t="shared" si="5"/>
        <v>16271</v>
      </c>
      <c r="AX4" s="36">
        <f t="shared" ref="AX4:AY4" si="6">AX5+AX23+AX38+AX52+AX63</f>
        <v>16837</v>
      </c>
      <c r="AY4" s="36">
        <f t="shared" si="6"/>
        <v>17618</v>
      </c>
      <c r="AZ4" s="36">
        <f t="shared" ref="AZ4:BE4" si="7">AZ5+AZ23+AZ38+AZ52+AZ63</f>
        <v>18286</v>
      </c>
      <c r="BA4" s="36">
        <f t="shared" si="7"/>
        <v>18217</v>
      </c>
      <c r="BB4" s="36">
        <f t="shared" si="7"/>
        <v>18463</v>
      </c>
      <c r="BC4" s="36">
        <f t="shared" si="7"/>
        <v>18851</v>
      </c>
      <c r="BD4" s="36">
        <f t="shared" si="7"/>
        <v>19699</v>
      </c>
      <c r="BE4" s="36">
        <f t="shared" si="7"/>
        <v>20274</v>
      </c>
    </row>
    <row r="5" spans="1:57" ht="12.75" customHeight="1">
      <c r="A5" s="37" t="s">
        <v>50</v>
      </c>
      <c r="B5" s="60">
        <f t="shared" ref="B5:AU5" si="8">SUM(B7:B22)</f>
        <v>173</v>
      </c>
      <c r="C5" s="38">
        <f t="shared" si="8"/>
        <v>143</v>
      </c>
      <c r="D5" s="38">
        <f t="shared" si="8"/>
        <v>184</v>
      </c>
      <c r="E5" s="38">
        <f t="shared" si="8"/>
        <v>189</v>
      </c>
      <c r="F5" s="38">
        <f t="shared" si="8"/>
        <v>204</v>
      </c>
      <c r="G5" s="38">
        <f t="shared" si="8"/>
        <v>227</v>
      </c>
      <c r="H5" s="38">
        <f t="shared" si="8"/>
        <v>233</v>
      </c>
      <c r="I5" s="38">
        <f t="shared" si="8"/>
        <v>275</v>
      </c>
      <c r="J5" s="38">
        <f t="shared" si="8"/>
        <v>300</v>
      </c>
      <c r="K5" s="38">
        <f t="shared" si="8"/>
        <v>344</v>
      </c>
      <c r="L5" s="38">
        <f t="shared" si="8"/>
        <v>384</v>
      </c>
      <c r="M5" s="38">
        <f t="shared" si="8"/>
        <v>477</v>
      </c>
      <c r="N5" s="38">
        <f t="shared" si="8"/>
        <v>486</v>
      </c>
      <c r="O5" s="38">
        <f t="shared" si="8"/>
        <v>547</v>
      </c>
      <c r="P5" s="38">
        <f t="shared" si="8"/>
        <v>529</v>
      </c>
      <c r="Q5" s="38">
        <f t="shared" si="8"/>
        <v>584</v>
      </c>
      <c r="R5" s="38">
        <f t="shared" si="8"/>
        <v>704</v>
      </c>
      <c r="S5" s="38">
        <f t="shared" si="8"/>
        <v>703</v>
      </c>
      <c r="T5" s="38">
        <f t="shared" ref="T5:U5" si="9">SUM(T7:T22)</f>
        <v>697</v>
      </c>
      <c r="U5" s="38">
        <f t="shared" si="9"/>
        <v>727</v>
      </c>
      <c r="V5" s="38">
        <f t="shared" ref="V5:W5" si="10">SUM(V7:V22)</f>
        <v>820</v>
      </c>
      <c r="W5" s="38">
        <f t="shared" si="10"/>
        <v>892</v>
      </c>
      <c r="X5" s="38">
        <f t="shared" ref="X5:AC5" si="11">SUM(X7:X22)</f>
        <v>1035</v>
      </c>
      <c r="Y5" s="38">
        <f t="shared" si="11"/>
        <v>1043</v>
      </c>
      <c r="Z5" s="38">
        <f t="shared" si="11"/>
        <v>1186</v>
      </c>
      <c r="AA5" s="38">
        <f t="shared" si="11"/>
        <v>1278</v>
      </c>
      <c r="AB5" s="38">
        <f t="shared" si="11"/>
        <v>1292</v>
      </c>
      <c r="AC5" s="38">
        <f t="shared" si="11"/>
        <v>1393</v>
      </c>
      <c r="AD5" s="60">
        <f t="shared" si="8"/>
        <v>1463</v>
      </c>
      <c r="AE5" s="38">
        <f t="shared" si="8"/>
        <v>1722</v>
      </c>
      <c r="AF5" s="38">
        <f t="shared" si="8"/>
        <v>2025</v>
      </c>
      <c r="AG5" s="38">
        <f t="shared" si="8"/>
        <v>2700</v>
      </c>
      <c r="AH5" s="38">
        <f t="shared" si="8"/>
        <v>2698</v>
      </c>
      <c r="AI5" s="38">
        <f t="shared" si="8"/>
        <v>2814</v>
      </c>
      <c r="AJ5" s="38">
        <f t="shared" si="8"/>
        <v>2706</v>
      </c>
      <c r="AK5" s="38">
        <f t="shared" si="8"/>
        <v>2962</v>
      </c>
      <c r="AL5" s="38">
        <f t="shared" si="8"/>
        <v>3004</v>
      </c>
      <c r="AM5" s="38">
        <f t="shared" si="8"/>
        <v>2916</v>
      </c>
      <c r="AN5" s="38">
        <f t="shared" si="8"/>
        <v>2821</v>
      </c>
      <c r="AO5" s="38">
        <f t="shared" si="8"/>
        <v>3011</v>
      </c>
      <c r="AP5" s="38">
        <f t="shared" si="8"/>
        <v>3532</v>
      </c>
      <c r="AQ5" s="38">
        <f t="shared" si="8"/>
        <v>4012</v>
      </c>
      <c r="AR5" s="38">
        <f t="shared" si="8"/>
        <v>4728</v>
      </c>
      <c r="AS5" s="38">
        <f t="shared" si="8"/>
        <v>5047</v>
      </c>
      <c r="AT5" s="38">
        <f t="shared" si="8"/>
        <v>5151</v>
      </c>
      <c r="AU5" s="38">
        <f t="shared" si="8"/>
        <v>4988</v>
      </c>
      <c r="AV5" s="38">
        <f t="shared" ref="AV5:AW5" si="12">SUM(AV7:AV22)</f>
        <v>4836</v>
      </c>
      <c r="AW5" s="38">
        <f t="shared" si="12"/>
        <v>4991</v>
      </c>
      <c r="AX5" s="38">
        <f t="shared" ref="AX5:AY5" si="13">SUM(AX7:AX22)</f>
        <v>5356</v>
      </c>
      <c r="AY5" s="38">
        <f t="shared" si="13"/>
        <v>5545</v>
      </c>
      <c r="AZ5" s="38">
        <f t="shared" ref="AZ5:BE5" si="14">SUM(AZ7:AZ22)</f>
        <v>5905</v>
      </c>
      <c r="BA5" s="38">
        <f t="shared" si="14"/>
        <v>5998</v>
      </c>
      <c r="BB5" s="38">
        <f t="shared" si="14"/>
        <v>5981</v>
      </c>
      <c r="BC5" s="38">
        <f t="shared" si="14"/>
        <v>6273</v>
      </c>
      <c r="BD5" s="38">
        <f t="shared" si="14"/>
        <v>6477</v>
      </c>
      <c r="BE5" s="38">
        <f t="shared" si="14"/>
        <v>6594</v>
      </c>
    </row>
    <row r="6" spans="1:57" s="11" customFormat="1">
      <c r="A6" s="39" t="s">
        <v>213</v>
      </c>
      <c r="B6" s="61">
        <f t="shared" ref="B6:AU6" si="15">(B5/B4)*100</f>
        <v>23.994452149791957</v>
      </c>
      <c r="C6" s="40">
        <f t="shared" si="15"/>
        <v>22.413793103448278</v>
      </c>
      <c r="D6" s="40">
        <f t="shared" si="15"/>
        <v>23.350253807106601</v>
      </c>
      <c r="E6" s="40">
        <f t="shared" si="15"/>
        <v>23.684210526315788</v>
      </c>
      <c r="F6" s="40">
        <f t="shared" si="15"/>
        <v>25.373134328358208</v>
      </c>
      <c r="G6" s="40">
        <f t="shared" si="15"/>
        <v>26.091954022988507</v>
      </c>
      <c r="H6" s="40">
        <f t="shared" si="15"/>
        <v>24.708377518557796</v>
      </c>
      <c r="I6" s="40">
        <f t="shared" si="15"/>
        <v>28.947368421052634</v>
      </c>
      <c r="J6" s="40">
        <f t="shared" si="15"/>
        <v>28.08988764044944</v>
      </c>
      <c r="K6" s="40">
        <f t="shared" si="15"/>
        <v>28.336079077429982</v>
      </c>
      <c r="L6" s="40">
        <f t="shared" si="15"/>
        <v>30.893000804505228</v>
      </c>
      <c r="M6" s="40">
        <f t="shared" si="15"/>
        <v>32.738503774879888</v>
      </c>
      <c r="N6" s="40">
        <f t="shared" si="15"/>
        <v>31.213872832369944</v>
      </c>
      <c r="O6" s="40">
        <f t="shared" si="15"/>
        <v>32.328605200945624</v>
      </c>
      <c r="P6" s="40">
        <f t="shared" si="15"/>
        <v>30.542725173210162</v>
      </c>
      <c r="Q6" s="40">
        <f t="shared" si="15"/>
        <v>31.196581196581196</v>
      </c>
      <c r="R6" s="40">
        <f t="shared" si="15"/>
        <v>34.645669291338585</v>
      </c>
      <c r="S6" s="40">
        <f t="shared" si="15"/>
        <v>33.22306238185255</v>
      </c>
      <c r="T6" s="40">
        <f t="shared" ref="T6:U6" si="16">(T5/T4)*100</f>
        <v>33.736689254598254</v>
      </c>
      <c r="U6" s="40">
        <f t="shared" si="16"/>
        <v>33.060482037289681</v>
      </c>
      <c r="V6" s="40">
        <f t="shared" ref="V6:W6" si="17">(V5/V4)*100</f>
        <v>33.926354985519239</v>
      </c>
      <c r="W6" s="40">
        <f t="shared" si="17"/>
        <v>34.721681588166604</v>
      </c>
      <c r="X6" s="40">
        <f t="shared" ref="X6:AC6" si="18">(X5/X4)*100</f>
        <v>37.083482622715877</v>
      </c>
      <c r="Y6" s="40">
        <f t="shared" si="18"/>
        <v>34.207937028533948</v>
      </c>
      <c r="Z6" s="40">
        <f t="shared" si="18"/>
        <v>36.280208014683389</v>
      </c>
      <c r="AA6" s="40">
        <f t="shared" si="18"/>
        <v>37.183590340413154</v>
      </c>
      <c r="AB6" s="40">
        <f t="shared" si="18"/>
        <v>35.98885793871866</v>
      </c>
      <c r="AC6" s="40">
        <f t="shared" si="18"/>
        <v>36.580882352941174</v>
      </c>
      <c r="AD6" s="61">
        <f t="shared" si="15"/>
        <v>23.010380622837371</v>
      </c>
      <c r="AE6" s="40">
        <f t="shared" si="15"/>
        <v>100</v>
      </c>
      <c r="AF6" s="40">
        <f t="shared" si="15"/>
        <v>73.66315023644961</v>
      </c>
      <c r="AG6" s="40">
        <f t="shared" si="15"/>
        <v>25.020850708924101</v>
      </c>
      <c r="AH6" s="40">
        <f t="shared" si="15"/>
        <v>23.623150337098327</v>
      </c>
      <c r="AI6" s="40">
        <f t="shared" si="15"/>
        <v>24.669062856140968</v>
      </c>
      <c r="AJ6" s="40">
        <f t="shared" si="15"/>
        <v>24.195278969957084</v>
      </c>
      <c r="AK6" s="40">
        <f t="shared" si="15"/>
        <v>25.902929602098819</v>
      </c>
      <c r="AL6" s="40">
        <f t="shared" si="15"/>
        <v>26.281714785651793</v>
      </c>
      <c r="AM6" s="40">
        <f t="shared" si="15"/>
        <v>25.7006874669487</v>
      </c>
      <c r="AN6" s="40">
        <f t="shared" si="15"/>
        <v>27.961145802359006</v>
      </c>
      <c r="AO6" s="40">
        <f t="shared" si="15"/>
        <v>25.898847410975399</v>
      </c>
      <c r="AP6" s="40">
        <f t="shared" si="15"/>
        <v>27.695444209205679</v>
      </c>
      <c r="AQ6" s="40">
        <f t="shared" si="15"/>
        <v>27.97378329382234</v>
      </c>
      <c r="AR6" s="40">
        <f t="shared" si="15"/>
        <v>29.609218436873746</v>
      </c>
      <c r="AS6" s="40">
        <f t="shared" si="15"/>
        <v>29.698717194303871</v>
      </c>
      <c r="AT6" s="40">
        <f t="shared" si="15"/>
        <v>29.951157111292009</v>
      </c>
      <c r="AU6" s="40">
        <f t="shared" si="15"/>
        <v>29.862898880440643</v>
      </c>
      <c r="AV6" s="40">
        <f t="shared" ref="AV6:AW6" si="19">(AV5/AV4)*100</f>
        <v>30.928626247122025</v>
      </c>
      <c r="AW6" s="40">
        <f t="shared" si="19"/>
        <v>30.674205641939643</v>
      </c>
      <c r="AX6" s="40">
        <f t="shared" ref="AX6:AY6" si="20">(AX5/AX4)*100</f>
        <v>31.810892676842666</v>
      </c>
      <c r="AY6" s="40">
        <f t="shared" si="20"/>
        <v>31.473493018503802</v>
      </c>
      <c r="AZ6" s="40">
        <f t="shared" ref="AZ6:BE6" si="21">(AZ5/AZ4)*100</f>
        <v>32.29246418024718</v>
      </c>
      <c r="BA6" s="40">
        <f t="shared" si="21"/>
        <v>32.925289564692321</v>
      </c>
      <c r="BB6" s="40">
        <f t="shared" si="21"/>
        <v>32.394518767264259</v>
      </c>
      <c r="BC6" s="40">
        <f t="shared" si="21"/>
        <v>33.276749244071937</v>
      </c>
      <c r="BD6" s="40">
        <f t="shared" si="21"/>
        <v>32.879841616325699</v>
      </c>
      <c r="BE6" s="40">
        <f t="shared" si="21"/>
        <v>32.524415507546614</v>
      </c>
    </row>
    <row r="7" spans="1:57" ht="12.75" customHeight="1">
      <c r="A7" s="37" t="s">
        <v>15</v>
      </c>
      <c r="B7" s="62">
        <v>1</v>
      </c>
      <c r="C7" s="41">
        <v>2</v>
      </c>
      <c r="D7" s="41">
        <f>0+0</f>
        <v>0</v>
      </c>
      <c r="E7" s="41">
        <v>3</v>
      </c>
      <c r="F7" s="41">
        <v>1</v>
      </c>
      <c r="G7" s="41">
        <v>2</v>
      </c>
      <c r="H7" s="41">
        <v>3</v>
      </c>
      <c r="I7" s="41">
        <v>2</v>
      </c>
      <c r="J7" s="41">
        <v>6</v>
      </c>
      <c r="K7" s="41">
        <v>5</v>
      </c>
      <c r="L7" s="41">
        <v>3</v>
      </c>
      <c r="M7" s="41">
        <v>10</v>
      </c>
      <c r="N7" s="41">
        <v>5</v>
      </c>
      <c r="O7" s="41">
        <v>9</v>
      </c>
      <c r="P7" s="41">
        <v>8</v>
      </c>
      <c r="Q7" s="41">
        <v>15</v>
      </c>
      <c r="R7" s="41">
        <v>7</v>
      </c>
      <c r="S7" s="41">
        <v>7</v>
      </c>
      <c r="T7" s="41">
        <v>9</v>
      </c>
      <c r="U7" s="41">
        <v>12</v>
      </c>
      <c r="V7" s="41">
        <v>10</v>
      </c>
      <c r="W7" s="41">
        <v>13</v>
      </c>
      <c r="X7" s="41">
        <v>9</v>
      </c>
      <c r="Y7" s="41">
        <v>6</v>
      </c>
      <c r="Z7" s="1">
        <v>16</v>
      </c>
      <c r="AA7" s="1">
        <v>17</v>
      </c>
      <c r="AB7" s="1">
        <v>16</v>
      </c>
      <c r="AC7" s="1">
        <v>14</v>
      </c>
      <c r="AD7" s="62">
        <v>47</v>
      </c>
      <c r="AE7" s="41">
        <v>60</v>
      </c>
      <c r="AF7" s="41">
        <f>78+0</f>
        <v>78</v>
      </c>
      <c r="AG7" s="41">
        <v>119</v>
      </c>
      <c r="AH7" s="41">
        <v>121</v>
      </c>
      <c r="AI7" s="41">
        <v>128</v>
      </c>
      <c r="AJ7" s="41">
        <v>109</v>
      </c>
      <c r="AK7" s="41">
        <v>135</v>
      </c>
      <c r="AL7" s="41">
        <v>134</v>
      </c>
      <c r="AM7" s="41">
        <v>138</v>
      </c>
      <c r="AN7" s="41">
        <v>119</v>
      </c>
      <c r="AO7" s="41">
        <v>146</v>
      </c>
      <c r="AP7" s="41">
        <v>137</v>
      </c>
      <c r="AQ7" s="41">
        <v>157</v>
      </c>
      <c r="AR7" s="41">
        <v>177</v>
      </c>
      <c r="AS7" s="41">
        <v>106</v>
      </c>
      <c r="AT7" s="41">
        <v>218</v>
      </c>
      <c r="AU7" s="41">
        <v>208</v>
      </c>
      <c r="AV7" s="41">
        <v>176</v>
      </c>
      <c r="AW7" s="1">
        <v>190</v>
      </c>
      <c r="AX7" s="1">
        <v>183</v>
      </c>
      <c r="AY7" s="1">
        <v>207</v>
      </c>
      <c r="AZ7" s="1">
        <v>211</v>
      </c>
      <c r="BA7" s="1">
        <v>205</v>
      </c>
      <c r="BB7" s="1">
        <v>212</v>
      </c>
      <c r="BC7" s="1">
        <v>241</v>
      </c>
      <c r="BD7" s="1">
        <v>203</v>
      </c>
      <c r="BE7" s="1">
        <v>221</v>
      </c>
    </row>
    <row r="8" spans="1:57" ht="12.75" customHeight="1">
      <c r="A8" s="37" t="s">
        <v>16</v>
      </c>
      <c r="B8" s="62">
        <v>0</v>
      </c>
      <c r="C8" s="41">
        <v>0</v>
      </c>
      <c r="D8" s="41">
        <f>3+0</f>
        <v>3</v>
      </c>
      <c r="E8" s="41">
        <v>0</v>
      </c>
      <c r="F8" s="41">
        <v>3</v>
      </c>
      <c r="G8" s="41">
        <v>2</v>
      </c>
      <c r="H8" s="41">
        <v>0</v>
      </c>
      <c r="I8" s="41">
        <v>1</v>
      </c>
      <c r="J8" s="41">
        <v>2</v>
      </c>
      <c r="K8" s="41">
        <v>1</v>
      </c>
      <c r="L8" s="41">
        <v>1</v>
      </c>
      <c r="M8" s="41">
        <v>1</v>
      </c>
      <c r="N8" s="41">
        <v>4</v>
      </c>
      <c r="O8" s="41">
        <v>4</v>
      </c>
      <c r="P8" s="41">
        <v>4</v>
      </c>
      <c r="Q8" s="41">
        <v>3</v>
      </c>
      <c r="R8" s="41">
        <v>5</v>
      </c>
      <c r="S8" s="41">
        <v>3</v>
      </c>
      <c r="T8" s="41">
        <v>4</v>
      </c>
      <c r="U8" s="41">
        <v>3</v>
      </c>
      <c r="V8" s="41">
        <v>4</v>
      </c>
      <c r="W8" s="41">
        <v>1</v>
      </c>
      <c r="X8" s="41">
        <v>4</v>
      </c>
      <c r="Y8" s="41">
        <v>6</v>
      </c>
      <c r="Z8" s="1">
        <v>4</v>
      </c>
      <c r="AA8" s="1">
        <v>4</v>
      </c>
      <c r="AB8" s="1">
        <v>6</v>
      </c>
      <c r="AC8" s="1">
        <v>9</v>
      </c>
      <c r="AD8" s="62">
        <v>12</v>
      </c>
      <c r="AE8" s="41">
        <v>11</v>
      </c>
      <c r="AF8" s="41">
        <f>18+0</f>
        <v>18</v>
      </c>
      <c r="AG8" s="41">
        <v>20</v>
      </c>
      <c r="AH8" s="41">
        <v>14</v>
      </c>
      <c r="AI8" s="41">
        <v>25</v>
      </c>
      <c r="AJ8" s="41">
        <v>29</v>
      </c>
      <c r="AK8" s="41">
        <v>30</v>
      </c>
      <c r="AL8" s="41">
        <v>28</v>
      </c>
      <c r="AM8" s="41">
        <v>35</v>
      </c>
      <c r="AN8" s="41">
        <v>28</v>
      </c>
      <c r="AO8" s="41">
        <v>41</v>
      </c>
      <c r="AP8" s="41">
        <v>44</v>
      </c>
      <c r="AQ8" s="41">
        <v>44</v>
      </c>
      <c r="AR8" s="41">
        <v>59</v>
      </c>
      <c r="AS8" s="41">
        <v>49</v>
      </c>
      <c r="AT8" s="41">
        <v>71</v>
      </c>
      <c r="AU8" s="41">
        <v>75</v>
      </c>
      <c r="AV8" s="41">
        <v>58</v>
      </c>
      <c r="AW8" s="1">
        <v>52</v>
      </c>
      <c r="AX8" s="1">
        <v>81</v>
      </c>
      <c r="AY8" s="1">
        <v>80</v>
      </c>
      <c r="AZ8" s="1">
        <v>80</v>
      </c>
      <c r="BA8" s="1">
        <v>79</v>
      </c>
      <c r="BB8" s="1">
        <v>84</v>
      </c>
      <c r="BC8" s="1">
        <v>72</v>
      </c>
      <c r="BD8" s="1">
        <v>110</v>
      </c>
      <c r="BE8" s="1">
        <v>95</v>
      </c>
    </row>
    <row r="9" spans="1:57" ht="12.75" customHeight="1">
      <c r="A9" s="37" t="s">
        <v>49</v>
      </c>
      <c r="B9" s="62">
        <v>0</v>
      </c>
      <c r="C9" s="41">
        <v>1</v>
      </c>
      <c r="D9" s="41">
        <v>1</v>
      </c>
      <c r="E9" s="41">
        <v>0</v>
      </c>
      <c r="F9" s="41">
        <v>0</v>
      </c>
      <c r="G9" s="41">
        <v>0</v>
      </c>
      <c r="H9" s="41">
        <v>1</v>
      </c>
      <c r="I9" s="41">
        <v>1</v>
      </c>
      <c r="J9" s="41">
        <v>0</v>
      </c>
      <c r="K9" s="41">
        <v>1</v>
      </c>
      <c r="L9" s="41">
        <v>2</v>
      </c>
      <c r="M9" s="41">
        <v>5</v>
      </c>
      <c r="N9" s="41">
        <v>2</v>
      </c>
      <c r="O9" s="41">
        <v>2</v>
      </c>
      <c r="P9" s="41">
        <v>5</v>
      </c>
      <c r="Q9" s="41">
        <v>7</v>
      </c>
      <c r="R9" s="41">
        <v>3</v>
      </c>
      <c r="S9" s="41">
        <v>8</v>
      </c>
      <c r="T9" s="41">
        <v>4</v>
      </c>
      <c r="U9" s="41">
        <v>5</v>
      </c>
      <c r="V9" s="41">
        <v>6</v>
      </c>
      <c r="W9" s="41">
        <v>4</v>
      </c>
      <c r="X9" s="41">
        <v>6</v>
      </c>
      <c r="Y9" s="41">
        <v>3</v>
      </c>
      <c r="Z9" s="1">
        <v>9</v>
      </c>
      <c r="AA9" s="1">
        <v>7</v>
      </c>
      <c r="AB9" s="1">
        <v>13</v>
      </c>
      <c r="AC9" s="1">
        <v>9</v>
      </c>
      <c r="AD9" s="62">
        <v>24</v>
      </c>
      <c r="AE9" s="41">
        <v>23</v>
      </c>
      <c r="AF9" s="41">
        <v>23</v>
      </c>
      <c r="AG9" s="41">
        <v>61</v>
      </c>
      <c r="AH9" s="41">
        <v>46</v>
      </c>
      <c r="AI9" s="41">
        <v>35</v>
      </c>
      <c r="AJ9" s="41">
        <v>34</v>
      </c>
      <c r="AK9" s="41">
        <v>57</v>
      </c>
      <c r="AL9" s="41">
        <v>51</v>
      </c>
      <c r="AM9" s="41">
        <v>49</v>
      </c>
      <c r="AN9" s="41">
        <v>53</v>
      </c>
      <c r="AO9" s="41">
        <v>35</v>
      </c>
      <c r="AP9" s="41">
        <v>58</v>
      </c>
      <c r="AQ9" s="41">
        <v>62</v>
      </c>
      <c r="AR9" s="41">
        <v>84</v>
      </c>
      <c r="AS9" s="41">
        <v>80</v>
      </c>
      <c r="AT9" s="41">
        <v>58</v>
      </c>
      <c r="AU9" s="41">
        <v>76</v>
      </c>
      <c r="AV9" s="41">
        <v>72</v>
      </c>
      <c r="AW9" s="1">
        <v>93</v>
      </c>
      <c r="AX9" s="1">
        <v>88</v>
      </c>
      <c r="AY9" s="1">
        <v>78</v>
      </c>
      <c r="AZ9" s="1">
        <v>91</v>
      </c>
      <c r="BA9" s="1">
        <v>104</v>
      </c>
      <c r="BB9" s="1">
        <v>120</v>
      </c>
      <c r="BC9" s="1">
        <v>99</v>
      </c>
      <c r="BD9" s="1">
        <v>105</v>
      </c>
      <c r="BE9" s="1">
        <v>111</v>
      </c>
    </row>
    <row r="10" spans="1:57" ht="12.75" customHeight="1">
      <c r="A10" s="37" t="s">
        <v>17</v>
      </c>
      <c r="B10" s="62">
        <v>65</v>
      </c>
      <c r="C10" s="41">
        <f>13+24</f>
        <v>37</v>
      </c>
      <c r="D10" s="41">
        <f>18+23</f>
        <v>41</v>
      </c>
      <c r="E10" s="41">
        <v>67</v>
      </c>
      <c r="F10" s="41">
        <v>58</v>
      </c>
      <c r="G10" s="41">
        <v>66</v>
      </c>
      <c r="H10" s="41">
        <v>68</v>
      </c>
      <c r="I10" s="41">
        <v>74</v>
      </c>
      <c r="J10" s="41">
        <v>90</v>
      </c>
      <c r="K10" s="41">
        <v>109</v>
      </c>
      <c r="L10" s="41">
        <v>129</v>
      </c>
      <c r="M10" s="41">
        <v>171</v>
      </c>
      <c r="N10" s="41">
        <v>178</v>
      </c>
      <c r="O10" s="41">
        <v>206</v>
      </c>
      <c r="P10" s="41">
        <v>185</v>
      </c>
      <c r="Q10" s="41">
        <v>179</v>
      </c>
      <c r="R10" s="41">
        <v>252</v>
      </c>
      <c r="S10" s="41">
        <v>244</v>
      </c>
      <c r="T10" s="41">
        <v>211</v>
      </c>
      <c r="U10" s="41">
        <v>211</v>
      </c>
      <c r="V10" s="41">
        <v>238</v>
      </c>
      <c r="W10" s="41">
        <v>231</v>
      </c>
      <c r="X10" s="41">
        <v>345</v>
      </c>
      <c r="Y10" s="41">
        <v>303</v>
      </c>
      <c r="Z10" s="4">
        <v>341</v>
      </c>
      <c r="AA10" s="4">
        <v>381</v>
      </c>
      <c r="AB10" s="4">
        <v>413</v>
      </c>
      <c r="AC10" s="4">
        <v>421</v>
      </c>
      <c r="AD10" s="62">
        <v>140</v>
      </c>
      <c r="AE10" s="41">
        <f>132+37</f>
        <v>169</v>
      </c>
      <c r="AF10" s="41">
        <f>190+38</f>
        <v>228</v>
      </c>
      <c r="AG10" s="41">
        <v>264</v>
      </c>
      <c r="AH10" s="41">
        <v>300</v>
      </c>
      <c r="AI10" s="41">
        <v>271</v>
      </c>
      <c r="AJ10" s="41">
        <v>256</v>
      </c>
      <c r="AK10" s="41">
        <v>326</v>
      </c>
      <c r="AL10" s="41">
        <v>338</v>
      </c>
      <c r="AM10" s="41">
        <v>360</v>
      </c>
      <c r="AN10" s="41">
        <v>362</v>
      </c>
      <c r="AO10" s="41">
        <v>346</v>
      </c>
      <c r="AP10" s="41">
        <v>489</v>
      </c>
      <c r="AQ10" s="41">
        <v>534</v>
      </c>
      <c r="AR10" s="41">
        <v>661</v>
      </c>
      <c r="AS10" s="41">
        <v>704</v>
      </c>
      <c r="AT10" s="41">
        <v>724</v>
      </c>
      <c r="AU10" s="41">
        <v>678</v>
      </c>
      <c r="AV10" s="41">
        <v>716</v>
      </c>
      <c r="AW10" s="1">
        <v>763</v>
      </c>
      <c r="AX10" s="1">
        <v>767</v>
      </c>
      <c r="AY10" s="1">
        <v>729</v>
      </c>
      <c r="AZ10" s="1">
        <v>744</v>
      </c>
      <c r="BA10" s="1">
        <v>761</v>
      </c>
      <c r="BB10" s="4">
        <v>790</v>
      </c>
      <c r="BC10" s="4">
        <v>852</v>
      </c>
      <c r="BD10" s="4">
        <v>923</v>
      </c>
      <c r="BE10" s="4">
        <v>931</v>
      </c>
    </row>
    <row r="11" spans="1:57" ht="12.75" customHeight="1">
      <c r="A11" s="37" t="s">
        <v>18</v>
      </c>
      <c r="B11" s="62">
        <v>4</v>
      </c>
      <c r="C11" s="41">
        <f>7+1</f>
        <v>8</v>
      </c>
      <c r="D11" s="41">
        <f>5+4</f>
        <v>9</v>
      </c>
      <c r="E11" s="41">
        <v>8</v>
      </c>
      <c r="F11" s="41">
        <v>12</v>
      </c>
      <c r="G11" s="41">
        <v>8</v>
      </c>
      <c r="H11" s="41">
        <v>13</v>
      </c>
      <c r="I11" s="41">
        <v>18</v>
      </c>
      <c r="J11" s="41">
        <v>17</v>
      </c>
      <c r="K11" s="41">
        <v>21</v>
      </c>
      <c r="L11" s="41">
        <v>19</v>
      </c>
      <c r="M11" s="41">
        <v>18</v>
      </c>
      <c r="N11" s="41">
        <v>18</v>
      </c>
      <c r="O11" s="41">
        <v>14</v>
      </c>
      <c r="P11" s="41">
        <v>22</v>
      </c>
      <c r="Q11" s="41">
        <v>24</v>
      </c>
      <c r="R11" s="41">
        <v>28</v>
      </c>
      <c r="S11" s="41">
        <v>32</v>
      </c>
      <c r="T11" s="41">
        <v>35</v>
      </c>
      <c r="U11" s="41">
        <v>36</v>
      </c>
      <c r="V11" s="41">
        <v>38</v>
      </c>
      <c r="W11" s="41">
        <v>41</v>
      </c>
      <c r="X11" s="41">
        <v>49</v>
      </c>
      <c r="Y11" s="41">
        <v>39</v>
      </c>
      <c r="Z11" s="96">
        <v>48</v>
      </c>
      <c r="AA11" s="96">
        <v>55</v>
      </c>
      <c r="AB11" s="96">
        <v>58</v>
      </c>
      <c r="AC11" s="96">
        <v>49</v>
      </c>
      <c r="AD11" s="62">
        <v>123</v>
      </c>
      <c r="AE11" s="41">
        <f>130+20</f>
        <v>150</v>
      </c>
      <c r="AF11" s="41">
        <f>134+32</f>
        <v>166</v>
      </c>
      <c r="AG11" s="41">
        <v>234</v>
      </c>
      <c r="AH11" s="41">
        <v>207</v>
      </c>
      <c r="AI11" s="41">
        <v>209</v>
      </c>
      <c r="AJ11" s="41">
        <v>206</v>
      </c>
      <c r="AK11" s="41">
        <v>229</v>
      </c>
      <c r="AL11" s="41">
        <v>216</v>
      </c>
      <c r="AM11" s="41">
        <v>225</v>
      </c>
      <c r="AN11" s="41">
        <v>214</v>
      </c>
      <c r="AO11" s="41">
        <v>278</v>
      </c>
      <c r="AP11" s="41">
        <v>317</v>
      </c>
      <c r="AQ11" s="41">
        <v>378</v>
      </c>
      <c r="AR11" s="41">
        <v>427</v>
      </c>
      <c r="AS11" s="41">
        <v>542</v>
      </c>
      <c r="AT11" s="41">
        <v>533</v>
      </c>
      <c r="AU11" s="41">
        <v>504</v>
      </c>
      <c r="AV11" s="41">
        <v>435</v>
      </c>
      <c r="AW11" s="1">
        <v>458</v>
      </c>
      <c r="AX11" s="1">
        <v>481</v>
      </c>
      <c r="AY11" s="1">
        <v>468</v>
      </c>
      <c r="AZ11" s="1">
        <v>538</v>
      </c>
      <c r="BA11" s="1">
        <v>558</v>
      </c>
      <c r="BB11" s="96">
        <v>546</v>
      </c>
      <c r="BC11" s="96">
        <v>571</v>
      </c>
      <c r="BD11" s="96">
        <v>576</v>
      </c>
      <c r="BE11" s="96">
        <v>565</v>
      </c>
    </row>
    <row r="12" spans="1:57" ht="12.75" customHeight="1">
      <c r="A12" s="37" t="s">
        <v>19</v>
      </c>
      <c r="B12" s="62">
        <v>2</v>
      </c>
      <c r="C12" s="41">
        <v>0</v>
      </c>
      <c r="D12" s="41">
        <f>1+0</f>
        <v>1</v>
      </c>
      <c r="E12" s="41">
        <v>1</v>
      </c>
      <c r="F12" s="41">
        <v>3</v>
      </c>
      <c r="G12" s="41">
        <v>2</v>
      </c>
      <c r="H12" s="41">
        <v>5</v>
      </c>
      <c r="I12" s="41">
        <v>5</v>
      </c>
      <c r="J12" s="41">
        <v>4</v>
      </c>
      <c r="K12" s="41">
        <v>5</v>
      </c>
      <c r="L12" s="41">
        <v>4</v>
      </c>
      <c r="M12" s="41">
        <v>3</v>
      </c>
      <c r="N12" s="41">
        <v>6</v>
      </c>
      <c r="O12" s="41">
        <v>6</v>
      </c>
      <c r="P12" s="41">
        <v>3</v>
      </c>
      <c r="Q12" s="41">
        <v>3</v>
      </c>
      <c r="R12" s="41">
        <v>7</v>
      </c>
      <c r="S12" s="41">
        <v>10</v>
      </c>
      <c r="T12" s="41">
        <v>11</v>
      </c>
      <c r="U12" s="41">
        <v>6</v>
      </c>
      <c r="V12" s="41">
        <v>13</v>
      </c>
      <c r="W12" s="41">
        <v>7</v>
      </c>
      <c r="X12" s="41">
        <v>8</v>
      </c>
      <c r="Y12" s="41">
        <v>10</v>
      </c>
      <c r="Z12" s="1">
        <v>7</v>
      </c>
      <c r="AA12" s="1">
        <v>13</v>
      </c>
      <c r="AB12" s="1">
        <v>13</v>
      </c>
      <c r="AC12" s="1">
        <v>20</v>
      </c>
      <c r="AD12" s="62">
        <v>37</v>
      </c>
      <c r="AE12" s="41">
        <f>51+8</f>
        <v>59</v>
      </c>
      <c r="AF12" s="41">
        <f>48+9</f>
        <v>57</v>
      </c>
      <c r="AG12" s="41">
        <v>76</v>
      </c>
      <c r="AH12" s="41">
        <v>77</v>
      </c>
      <c r="AI12" s="41">
        <v>93</v>
      </c>
      <c r="AJ12" s="41">
        <v>67</v>
      </c>
      <c r="AK12" s="41">
        <v>83</v>
      </c>
      <c r="AL12" s="41">
        <v>94</v>
      </c>
      <c r="AM12" s="41">
        <v>85</v>
      </c>
      <c r="AN12" s="41">
        <v>82</v>
      </c>
      <c r="AO12" s="41">
        <v>102</v>
      </c>
      <c r="AP12" s="41">
        <v>90</v>
      </c>
      <c r="AQ12" s="41">
        <v>107</v>
      </c>
      <c r="AR12" s="41">
        <v>142</v>
      </c>
      <c r="AS12" s="41">
        <v>188</v>
      </c>
      <c r="AT12" s="41">
        <v>158</v>
      </c>
      <c r="AU12" s="41">
        <v>149</v>
      </c>
      <c r="AV12" s="41">
        <v>137</v>
      </c>
      <c r="AW12" s="1">
        <v>125</v>
      </c>
      <c r="AX12" s="1">
        <v>151</v>
      </c>
      <c r="AY12" s="1">
        <v>146</v>
      </c>
      <c r="AZ12" s="1">
        <v>162</v>
      </c>
      <c r="BA12" s="1">
        <v>155</v>
      </c>
      <c r="BB12" s="1">
        <v>150</v>
      </c>
      <c r="BC12" s="1">
        <v>150</v>
      </c>
      <c r="BD12" s="1">
        <v>168</v>
      </c>
      <c r="BE12" s="1">
        <v>186</v>
      </c>
    </row>
    <row r="13" spans="1:57" ht="12.75" customHeight="1">
      <c r="A13" s="37" t="s">
        <v>20</v>
      </c>
      <c r="B13" s="62">
        <v>5</v>
      </c>
      <c r="C13" s="41">
        <f>4+3</f>
        <v>7</v>
      </c>
      <c r="D13" s="41">
        <f>7+3</f>
        <v>10</v>
      </c>
      <c r="E13" s="41">
        <v>7</v>
      </c>
      <c r="F13" s="41">
        <v>11</v>
      </c>
      <c r="G13" s="41">
        <v>5</v>
      </c>
      <c r="H13" s="41">
        <v>7</v>
      </c>
      <c r="I13" s="41">
        <v>10</v>
      </c>
      <c r="J13" s="41">
        <v>9</v>
      </c>
      <c r="K13" s="41">
        <v>10</v>
      </c>
      <c r="L13" s="41">
        <v>8</v>
      </c>
      <c r="M13" s="41">
        <v>9</v>
      </c>
      <c r="N13" s="41">
        <v>12</v>
      </c>
      <c r="O13" s="41">
        <v>17</v>
      </c>
      <c r="P13" s="41">
        <v>12</v>
      </c>
      <c r="Q13" s="41">
        <v>13</v>
      </c>
      <c r="R13" s="41">
        <v>18</v>
      </c>
      <c r="S13" s="41">
        <v>9</v>
      </c>
      <c r="T13" s="41">
        <v>12</v>
      </c>
      <c r="U13" s="41">
        <v>9</v>
      </c>
      <c r="V13" s="41">
        <v>9</v>
      </c>
      <c r="W13" s="41">
        <v>13</v>
      </c>
      <c r="X13" s="41">
        <v>20</v>
      </c>
      <c r="Y13" s="41">
        <v>18</v>
      </c>
      <c r="Z13" s="1">
        <v>18</v>
      </c>
      <c r="AA13" s="1">
        <v>24</v>
      </c>
      <c r="AB13" s="1">
        <v>22</v>
      </c>
      <c r="AC13" s="1">
        <v>32</v>
      </c>
      <c r="AD13" s="62">
        <v>58</v>
      </c>
      <c r="AE13" s="41">
        <f>64+21</f>
        <v>85</v>
      </c>
      <c r="AF13" s="41">
        <f>95+16</f>
        <v>111</v>
      </c>
      <c r="AG13" s="41">
        <v>124</v>
      </c>
      <c r="AH13" s="41">
        <v>111</v>
      </c>
      <c r="AI13" s="41">
        <v>98</v>
      </c>
      <c r="AJ13" s="41">
        <v>121</v>
      </c>
      <c r="AK13" s="41">
        <v>130</v>
      </c>
      <c r="AL13" s="41">
        <v>154</v>
      </c>
      <c r="AM13" s="41">
        <v>134</v>
      </c>
      <c r="AN13" s="41">
        <v>164</v>
      </c>
      <c r="AO13" s="41">
        <v>152</v>
      </c>
      <c r="AP13" s="41">
        <v>149</v>
      </c>
      <c r="AQ13" s="41">
        <v>191</v>
      </c>
      <c r="AR13" s="41">
        <v>214</v>
      </c>
      <c r="AS13" s="41">
        <v>239</v>
      </c>
      <c r="AT13" s="41">
        <v>219</v>
      </c>
      <c r="AU13" s="41">
        <v>209</v>
      </c>
      <c r="AV13" s="41">
        <v>211</v>
      </c>
      <c r="AW13" s="1">
        <v>179</v>
      </c>
      <c r="AX13" s="1">
        <v>224</v>
      </c>
      <c r="AY13" s="1">
        <v>256</v>
      </c>
      <c r="AZ13" s="1">
        <v>249</v>
      </c>
      <c r="BA13" s="1">
        <v>225</v>
      </c>
      <c r="BB13" s="1">
        <v>264</v>
      </c>
      <c r="BC13" s="1">
        <v>226</v>
      </c>
      <c r="BD13" s="1">
        <v>219</v>
      </c>
      <c r="BE13" s="1">
        <v>224</v>
      </c>
    </row>
    <row r="14" spans="1:57" ht="12.75" customHeight="1">
      <c r="A14" s="37" t="s">
        <v>21</v>
      </c>
      <c r="B14" s="62">
        <v>9</v>
      </c>
      <c r="C14" s="41">
        <f>6+3</f>
        <v>9</v>
      </c>
      <c r="D14" s="41">
        <f>6+2</f>
        <v>8</v>
      </c>
      <c r="E14" s="41">
        <v>13</v>
      </c>
      <c r="F14" s="41">
        <v>13</v>
      </c>
      <c r="G14" s="41">
        <v>14</v>
      </c>
      <c r="H14" s="41">
        <v>8</v>
      </c>
      <c r="I14" s="41">
        <v>13</v>
      </c>
      <c r="J14" s="41">
        <v>19</v>
      </c>
      <c r="K14" s="41">
        <v>10</v>
      </c>
      <c r="L14" s="41">
        <v>23</v>
      </c>
      <c r="M14" s="41">
        <v>21</v>
      </c>
      <c r="N14" s="41">
        <v>17</v>
      </c>
      <c r="O14" s="41">
        <v>20</v>
      </c>
      <c r="P14" s="41">
        <v>24</v>
      </c>
      <c r="Q14" s="41">
        <v>25</v>
      </c>
      <c r="R14" s="41">
        <v>28</v>
      </c>
      <c r="S14" s="41">
        <v>19</v>
      </c>
      <c r="T14" s="41">
        <v>26</v>
      </c>
      <c r="U14" s="41">
        <v>39</v>
      </c>
      <c r="V14" s="41">
        <v>33</v>
      </c>
      <c r="W14" s="41">
        <v>41</v>
      </c>
      <c r="X14" s="41">
        <v>39</v>
      </c>
      <c r="Y14" s="41">
        <v>38</v>
      </c>
      <c r="Z14" s="1">
        <v>47</v>
      </c>
      <c r="AA14" s="1">
        <v>44</v>
      </c>
      <c r="AB14" s="1">
        <v>49</v>
      </c>
      <c r="AC14" s="1">
        <v>59</v>
      </c>
      <c r="AD14" s="62">
        <v>132</v>
      </c>
      <c r="AE14" s="41">
        <f>106+53</f>
        <v>159</v>
      </c>
      <c r="AF14" s="41">
        <f>136+63</f>
        <v>199</v>
      </c>
      <c r="AG14" s="41">
        <v>273</v>
      </c>
      <c r="AH14" s="41">
        <v>301</v>
      </c>
      <c r="AI14" s="41">
        <v>305</v>
      </c>
      <c r="AJ14" s="41">
        <v>276</v>
      </c>
      <c r="AK14" s="41">
        <v>304</v>
      </c>
      <c r="AL14" s="41">
        <v>299</v>
      </c>
      <c r="AM14" s="41">
        <v>296</v>
      </c>
      <c r="AN14" s="41">
        <v>271</v>
      </c>
      <c r="AO14" s="41">
        <v>305</v>
      </c>
      <c r="AP14" s="41">
        <v>351</v>
      </c>
      <c r="AQ14" s="41">
        <v>403</v>
      </c>
      <c r="AR14" s="41">
        <v>512</v>
      </c>
      <c r="AS14" s="41">
        <v>504</v>
      </c>
      <c r="AT14" s="41">
        <v>506</v>
      </c>
      <c r="AU14" s="41">
        <v>439</v>
      </c>
      <c r="AV14" s="41">
        <v>421</v>
      </c>
      <c r="AW14" s="1">
        <v>414</v>
      </c>
      <c r="AX14" s="1">
        <v>453</v>
      </c>
      <c r="AY14" s="1">
        <v>441</v>
      </c>
      <c r="AZ14" s="1">
        <v>414</v>
      </c>
      <c r="BA14" s="1">
        <v>465</v>
      </c>
      <c r="BB14" s="1">
        <v>418</v>
      </c>
      <c r="BC14" s="1">
        <v>469</v>
      </c>
      <c r="BD14" s="1">
        <v>472</v>
      </c>
      <c r="BE14" s="1">
        <v>457</v>
      </c>
    </row>
    <row r="15" spans="1:57" ht="12.75" customHeight="1">
      <c r="A15" s="37" t="s">
        <v>22</v>
      </c>
      <c r="B15" s="62">
        <v>1</v>
      </c>
      <c r="C15" s="41">
        <v>1</v>
      </c>
      <c r="D15" s="41">
        <f>1+0</f>
        <v>1</v>
      </c>
      <c r="E15" s="41">
        <v>3</v>
      </c>
      <c r="F15" s="41">
        <v>2</v>
      </c>
      <c r="G15" s="41">
        <v>1</v>
      </c>
      <c r="H15" s="41">
        <v>1</v>
      </c>
      <c r="I15" s="41">
        <v>0</v>
      </c>
      <c r="J15" s="41">
        <v>2</v>
      </c>
      <c r="K15" s="41">
        <v>2</v>
      </c>
      <c r="L15" s="41">
        <v>1</v>
      </c>
      <c r="M15" s="41">
        <v>2</v>
      </c>
      <c r="N15" s="41">
        <v>4</v>
      </c>
      <c r="O15" s="41">
        <v>4</v>
      </c>
      <c r="P15" s="41">
        <v>2</v>
      </c>
      <c r="Q15" s="41">
        <v>4</v>
      </c>
      <c r="R15" s="41">
        <v>2</v>
      </c>
      <c r="S15" s="41">
        <v>10</v>
      </c>
      <c r="T15" s="41">
        <v>6</v>
      </c>
      <c r="U15" s="41">
        <v>8</v>
      </c>
      <c r="V15" s="41">
        <v>6</v>
      </c>
      <c r="W15" s="41">
        <v>8</v>
      </c>
      <c r="X15" s="41">
        <v>6</v>
      </c>
      <c r="Y15" s="41">
        <v>6</v>
      </c>
      <c r="Z15" s="1">
        <v>31</v>
      </c>
      <c r="AA15" s="1">
        <v>10</v>
      </c>
      <c r="AB15" s="1">
        <v>7</v>
      </c>
      <c r="AC15" s="1">
        <v>15</v>
      </c>
      <c r="AD15" s="62">
        <v>28</v>
      </c>
      <c r="AE15" s="41">
        <v>24</v>
      </c>
      <c r="AF15" s="41">
        <f>43+0</f>
        <v>43</v>
      </c>
      <c r="AG15" s="41">
        <v>62</v>
      </c>
      <c r="AH15" s="41">
        <v>83</v>
      </c>
      <c r="AI15" s="41">
        <v>88</v>
      </c>
      <c r="AJ15" s="41">
        <v>108</v>
      </c>
      <c r="AK15" s="41">
        <v>68</v>
      </c>
      <c r="AL15" s="41">
        <v>78</v>
      </c>
      <c r="AM15" s="41">
        <v>71</v>
      </c>
      <c r="AN15" s="41">
        <v>83</v>
      </c>
      <c r="AO15" s="41">
        <v>61</v>
      </c>
      <c r="AP15" s="41">
        <v>62</v>
      </c>
      <c r="AQ15" s="41">
        <v>61</v>
      </c>
      <c r="AR15" s="41">
        <v>77</v>
      </c>
      <c r="AS15" s="41">
        <v>93</v>
      </c>
      <c r="AT15" s="41">
        <v>88</v>
      </c>
      <c r="AU15" s="41">
        <v>85</v>
      </c>
      <c r="AV15" s="41">
        <v>98</v>
      </c>
      <c r="AW15" s="1">
        <v>120</v>
      </c>
      <c r="AX15" s="1">
        <v>98</v>
      </c>
      <c r="AY15" s="1">
        <v>88</v>
      </c>
      <c r="AZ15" s="1">
        <v>118</v>
      </c>
      <c r="BA15" s="1">
        <v>124</v>
      </c>
      <c r="BB15" s="1">
        <v>105</v>
      </c>
      <c r="BC15" s="1">
        <v>118</v>
      </c>
      <c r="BD15" s="1">
        <v>104</v>
      </c>
      <c r="BE15" s="1">
        <v>135</v>
      </c>
    </row>
    <row r="16" spans="1:57" ht="12.75" customHeight="1">
      <c r="A16" s="37" t="s">
        <v>23</v>
      </c>
      <c r="B16" s="62">
        <v>6</v>
      </c>
      <c r="C16" s="41">
        <f>9+2</f>
        <v>11</v>
      </c>
      <c r="D16" s="41">
        <f>9+2</f>
        <v>11</v>
      </c>
      <c r="E16" s="41">
        <v>9</v>
      </c>
      <c r="F16" s="41">
        <v>16</v>
      </c>
      <c r="G16" s="41">
        <v>9</v>
      </c>
      <c r="H16" s="41">
        <v>13</v>
      </c>
      <c r="I16" s="41">
        <v>16</v>
      </c>
      <c r="J16" s="41">
        <v>13</v>
      </c>
      <c r="K16" s="41">
        <v>22</v>
      </c>
      <c r="L16" s="41">
        <v>9</v>
      </c>
      <c r="M16" s="41">
        <v>29</v>
      </c>
      <c r="N16" s="41">
        <v>22</v>
      </c>
      <c r="O16" s="41">
        <v>31</v>
      </c>
      <c r="P16" s="41">
        <v>28</v>
      </c>
      <c r="Q16" s="41">
        <v>34</v>
      </c>
      <c r="R16" s="41">
        <v>35</v>
      </c>
      <c r="S16" s="41">
        <v>30</v>
      </c>
      <c r="T16" s="41">
        <v>39</v>
      </c>
      <c r="U16" s="41">
        <v>32</v>
      </c>
      <c r="V16" s="41">
        <v>48</v>
      </c>
      <c r="W16" s="41">
        <v>42</v>
      </c>
      <c r="X16" s="41">
        <v>58</v>
      </c>
      <c r="Y16" s="41">
        <v>47</v>
      </c>
      <c r="Z16" s="1">
        <v>72</v>
      </c>
      <c r="AA16" s="1">
        <v>81</v>
      </c>
      <c r="AB16" s="1">
        <v>85</v>
      </c>
      <c r="AC16" s="1">
        <v>81</v>
      </c>
      <c r="AD16" s="62">
        <v>83</v>
      </c>
      <c r="AE16" s="41">
        <f>108+19</f>
        <v>127</v>
      </c>
      <c r="AF16" s="41">
        <f>127+28</f>
        <v>155</v>
      </c>
      <c r="AG16" s="41">
        <v>199</v>
      </c>
      <c r="AH16" s="41">
        <v>212</v>
      </c>
      <c r="AI16" s="41">
        <v>214</v>
      </c>
      <c r="AJ16" s="41">
        <v>198</v>
      </c>
      <c r="AK16" s="41">
        <v>218</v>
      </c>
      <c r="AL16" s="41">
        <v>226</v>
      </c>
      <c r="AM16" s="41">
        <v>213</v>
      </c>
      <c r="AN16" s="41">
        <v>182</v>
      </c>
      <c r="AO16" s="41">
        <v>185</v>
      </c>
      <c r="AP16" s="41">
        <v>233</v>
      </c>
      <c r="AQ16" s="41">
        <v>263</v>
      </c>
      <c r="AR16" s="41">
        <v>317</v>
      </c>
      <c r="AS16" s="41">
        <v>341</v>
      </c>
      <c r="AT16" s="41">
        <v>305</v>
      </c>
      <c r="AU16" s="41">
        <v>336</v>
      </c>
      <c r="AV16" s="41">
        <v>328</v>
      </c>
      <c r="AW16" s="1">
        <v>330</v>
      </c>
      <c r="AX16" s="1">
        <v>348</v>
      </c>
      <c r="AY16" s="1">
        <v>418</v>
      </c>
      <c r="AZ16" s="1">
        <v>542</v>
      </c>
      <c r="BA16" s="1">
        <v>513</v>
      </c>
      <c r="BB16" s="1">
        <v>480</v>
      </c>
      <c r="BC16" s="1">
        <v>553</v>
      </c>
      <c r="BD16" s="1">
        <v>505</v>
      </c>
      <c r="BE16" s="1">
        <v>564</v>
      </c>
    </row>
    <row r="17" spans="1:57" ht="12.75" customHeight="1">
      <c r="A17" s="37" t="s">
        <v>24</v>
      </c>
      <c r="B17" s="62">
        <v>6</v>
      </c>
      <c r="C17" s="41">
        <v>3</v>
      </c>
      <c r="D17" s="41">
        <f>5+0</f>
        <v>5</v>
      </c>
      <c r="E17" s="41">
        <v>3</v>
      </c>
      <c r="F17" s="41">
        <v>6</v>
      </c>
      <c r="G17" s="41">
        <v>5</v>
      </c>
      <c r="H17" s="41">
        <v>10</v>
      </c>
      <c r="I17" s="41">
        <v>6</v>
      </c>
      <c r="J17" s="41">
        <v>12</v>
      </c>
      <c r="K17" s="41">
        <v>6</v>
      </c>
      <c r="L17" s="41">
        <v>9</v>
      </c>
      <c r="M17" s="41">
        <v>10</v>
      </c>
      <c r="N17" s="41">
        <v>6</v>
      </c>
      <c r="O17" s="41">
        <v>7</v>
      </c>
      <c r="P17" s="41">
        <v>2</v>
      </c>
      <c r="Q17" s="41">
        <v>8</v>
      </c>
      <c r="R17" s="41">
        <v>6</v>
      </c>
      <c r="S17" s="41">
        <v>11</v>
      </c>
      <c r="T17" s="41">
        <v>11</v>
      </c>
      <c r="U17" s="41">
        <v>3</v>
      </c>
      <c r="V17" s="41">
        <v>7</v>
      </c>
      <c r="W17" s="41">
        <v>2</v>
      </c>
      <c r="X17" s="41">
        <v>13</v>
      </c>
      <c r="Y17" s="41">
        <v>11</v>
      </c>
      <c r="Z17" s="1">
        <v>10</v>
      </c>
      <c r="AA17" s="1">
        <v>15</v>
      </c>
      <c r="AB17" s="1">
        <v>24</v>
      </c>
      <c r="AC17" s="1">
        <v>10</v>
      </c>
      <c r="AD17" s="62">
        <v>71</v>
      </c>
      <c r="AE17" s="41">
        <f>68+2</f>
        <v>70</v>
      </c>
      <c r="AF17" s="41">
        <f>84+8</f>
        <v>92</v>
      </c>
      <c r="AG17" s="41">
        <v>99</v>
      </c>
      <c r="AH17" s="41">
        <v>96</v>
      </c>
      <c r="AI17" s="41">
        <v>114</v>
      </c>
      <c r="AJ17" s="41">
        <v>93</v>
      </c>
      <c r="AK17" s="41">
        <v>103</v>
      </c>
      <c r="AL17" s="41">
        <v>114</v>
      </c>
      <c r="AM17" s="41">
        <v>99</v>
      </c>
      <c r="AN17" s="41">
        <v>83</v>
      </c>
      <c r="AO17" s="41">
        <v>93</v>
      </c>
      <c r="AP17" s="41">
        <v>122</v>
      </c>
      <c r="AQ17" s="41">
        <v>133</v>
      </c>
      <c r="AR17" s="41">
        <v>138</v>
      </c>
      <c r="AS17" s="41">
        <v>162</v>
      </c>
      <c r="AT17" s="41">
        <v>154</v>
      </c>
      <c r="AU17" s="41">
        <v>154</v>
      </c>
      <c r="AV17" s="41">
        <v>168</v>
      </c>
      <c r="AW17" s="1">
        <v>143</v>
      </c>
      <c r="AX17" s="1">
        <v>179</v>
      </c>
      <c r="AY17" s="1">
        <v>189</v>
      </c>
      <c r="AZ17" s="1">
        <v>188</v>
      </c>
      <c r="BA17" s="1">
        <v>184</v>
      </c>
      <c r="BB17" s="1">
        <v>203</v>
      </c>
      <c r="BC17" s="1">
        <v>184</v>
      </c>
      <c r="BD17" s="1">
        <v>183</v>
      </c>
      <c r="BE17" s="1">
        <v>213</v>
      </c>
    </row>
    <row r="18" spans="1:57" ht="12.75" customHeight="1">
      <c r="A18" s="37" t="s">
        <v>25</v>
      </c>
      <c r="B18" s="62">
        <v>1</v>
      </c>
      <c r="C18" s="41">
        <v>1</v>
      </c>
      <c r="D18" s="41">
        <f>4+0</f>
        <v>4</v>
      </c>
      <c r="E18" s="41">
        <v>3</v>
      </c>
      <c r="F18" s="41">
        <v>2</v>
      </c>
      <c r="G18" s="41">
        <v>3</v>
      </c>
      <c r="H18" s="41">
        <v>3</v>
      </c>
      <c r="I18" s="41">
        <v>5</v>
      </c>
      <c r="J18" s="41">
        <v>1</v>
      </c>
      <c r="K18" s="41">
        <v>2</v>
      </c>
      <c r="L18" s="41">
        <v>7</v>
      </c>
      <c r="M18" s="41">
        <v>5</v>
      </c>
      <c r="N18" s="41">
        <v>2</v>
      </c>
      <c r="O18" s="41">
        <v>7</v>
      </c>
      <c r="P18" s="41">
        <v>6</v>
      </c>
      <c r="Q18" s="41">
        <v>7</v>
      </c>
      <c r="R18" s="41">
        <v>6</v>
      </c>
      <c r="S18" s="41">
        <v>10</v>
      </c>
      <c r="T18" s="41">
        <v>12</v>
      </c>
      <c r="U18" s="41">
        <v>16</v>
      </c>
      <c r="V18" s="41">
        <v>12</v>
      </c>
      <c r="W18" s="41">
        <v>14</v>
      </c>
      <c r="X18" s="41">
        <v>15</v>
      </c>
      <c r="Y18" s="41">
        <v>18</v>
      </c>
      <c r="Z18" s="1">
        <v>24</v>
      </c>
      <c r="AA18" s="1">
        <v>13</v>
      </c>
      <c r="AB18" s="1">
        <v>15</v>
      </c>
      <c r="AC18" s="1">
        <v>20</v>
      </c>
      <c r="AD18" s="62">
        <v>50</v>
      </c>
      <c r="AE18" s="41">
        <v>50</v>
      </c>
      <c r="AF18" s="41">
        <f>63+3</f>
        <v>66</v>
      </c>
      <c r="AG18" s="41">
        <v>94</v>
      </c>
      <c r="AH18" s="41">
        <v>103</v>
      </c>
      <c r="AI18" s="41">
        <v>100</v>
      </c>
      <c r="AJ18" s="41">
        <v>92</v>
      </c>
      <c r="AK18" s="41">
        <v>109</v>
      </c>
      <c r="AL18" s="41">
        <v>96</v>
      </c>
      <c r="AM18" s="41">
        <v>95</v>
      </c>
      <c r="AN18" s="41">
        <v>100</v>
      </c>
      <c r="AO18" s="41">
        <v>108</v>
      </c>
      <c r="AP18" s="41">
        <v>136</v>
      </c>
      <c r="AQ18" s="41">
        <v>124</v>
      </c>
      <c r="AR18" s="41">
        <v>142</v>
      </c>
      <c r="AS18" s="41">
        <v>151</v>
      </c>
      <c r="AT18" s="41">
        <v>155</v>
      </c>
      <c r="AU18" s="41">
        <v>155</v>
      </c>
      <c r="AV18" s="41">
        <v>127</v>
      </c>
      <c r="AW18" s="1">
        <v>145</v>
      </c>
      <c r="AX18" s="1">
        <v>186</v>
      </c>
      <c r="AY18" s="1">
        <v>165</v>
      </c>
      <c r="AZ18" s="1">
        <v>195</v>
      </c>
      <c r="BA18" s="1">
        <v>221</v>
      </c>
      <c r="BB18" s="1">
        <v>210</v>
      </c>
      <c r="BC18" s="1">
        <v>214</v>
      </c>
      <c r="BD18" s="1">
        <v>261</v>
      </c>
      <c r="BE18" s="1">
        <v>229</v>
      </c>
    </row>
    <row r="19" spans="1:57" ht="12.75" customHeight="1">
      <c r="A19" s="37" t="s">
        <v>26</v>
      </c>
      <c r="B19" s="62">
        <v>4</v>
      </c>
      <c r="C19" s="41">
        <f>2+1</f>
        <v>3</v>
      </c>
      <c r="D19" s="41">
        <f>1+1</f>
        <v>2</v>
      </c>
      <c r="E19" s="41">
        <v>6</v>
      </c>
      <c r="F19" s="41">
        <v>6</v>
      </c>
      <c r="G19" s="41">
        <v>10</v>
      </c>
      <c r="H19" s="41">
        <v>5</v>
      </c>
      <c r="I19" s="41">
        <v>1</v>
      </c>
      <c r="J19" s="41">
        <v>7</v>
      </c>
      <c r="K19" s="41">
        <v>9</v>
      </c>
      <c r="L19" s="41">
        <v>2</v>
      </c>
      <c r="M19" s="41">
        <v>6</v>
      </c>
      <c r="N19" s="41">
        <v>9</v>
      </c>
      <c r="O19" s="41">
        <v>6</v>
      </c>
      <c r="P19" s="41">
        <v>11</v>
      </c>
      <c r="Q19" s="41">
        <v>8</v>
      </c>
      <c r="R19" s="41">
        <v>9</v>
      </c>
      <c r="S19" s="41">
        <v>17</v>
      </c>
      <c r="T19" s="41">
        <v>23</v>
      </c>
      <c r="U19" s="41">
        <v>12</v>
      </c>
      <c r="V19" s="41">
        <v>19</v>
      </c>
      <c r="W19" s="41">
        <v>22</v>
      </c>
      <c r="X19" s="41">
        <v>26</v>
      </c>
      <c r="Y19" s="41">
        <v>23</v>
      </c>
      <c r="Z19" s="1">
        <v>37</v>
      </c>
      <c r="AA19" s="1">
        <v>39</v>
      </c>
      <c r="AB19" s="1">
        <v>41</v>
      </c>
      <c r="AC19" s="1">
        <v>58</v>
      </c>
      <c r="AD19" s="62">
        <v>63</v>
      </c>
      <c r="AE19" s="41">
        <f>38+26</f>
        <v>64</v>
      </c>
      <c r="AF19" s="41">
        <f>44+40</f>
        <v>84</v>
      </c>
      <c r="AG19" s="41">
        <v>112</v>
      </c>
      <c r="AH19" s="41">
        <v>106</v>
      </c>
      <c r="AI19" s="41">
        <v>104</v>
      </c>
      <c r="AJ19" s="41">
        <v>107</v>
      </c>
      <c r="AK19" s="41">
        <v>135</v>
      </c>
      <c r="AL19" s="41">
        <v>143</v>
      </c>
      <c r="AM19" s="41">
        <v>128</v>
      </c>
      <c r="AN19" s="41">
        <v>122</v>
      </c>
      <c r="AO19" s="41">
        <v>146</v>
      </c>
      <c r="AP19" s="41">
        <v>135</v>
      </c>
      <c r="AQ19" s="41">
        <v>169</v>
      </c>
      <c r="AR19" s="41">
        <v>195</v>
      </c>
      <c r="AS19" s="41">
        <v>201</v>
      </c>
      <c r="AT19" s="41">
        <v>198</v>
      </c>
      <c r="AU19" s="41">
        <v>219</v>
      </c>
      <c r="AV19" s="41">
        <v>191</v>
      </c>
      <c r="AW19" s="1">
        <v>216</v>
      </c>
      <c r="AX19" s="1">
        <v>216</v>
      </c>
      <c r="AY19" s="1">
        <v>199</v>
      </c>
      <c r="AZ19" s="1">
        <v>215</v>
      </c>
      <c r="BA19" s="1">
        <v>226</v>
      </c>
      <c r="BB19" s="1">
        <v>254</v>
      </c>
      <c r="BC19" s="1">
        <v>244</v>
      </c>
      <c r="BD19" s="1">
        <v>253</v>
      </c>
      <c r="BE19" s="1">
        <v>243</v>
      </c>
    </row>
    <row r="20" spans="1:57" ht="12.75" customHeight="1">
      <c r="A20" s="37" t="s">
        <v>27</v>
      </c>
      <c r="B20" s="62">
        <v>62</v>
      </c>
      <c r="C20" s="41">
        <f>49+7</f>
        <v>56</v>
      </c>
      <c r="D20" s="41">
        <f>67+5</f>
        <v>72</v>
      </c>
      <c r="E20" s="41">
        <v>61</v>
      </c>
      <c r="F20" s="41">
        <v>63</v>
      </c>
      <c r="G20" s="41">
        <v>89</v>
      </c>
      <c r="H20" s="41">
        <v>84</v>
      </c>
      <c r="I20" s="41">
        <v>110</v>
      </c>
      <c r="J20" s="41">
        <v>106</v>
      </c>
      <c r="K20" s="41">
        <v>133</v>
      </c>
      <c r="L20" s="41">
        <v>149</v>
      </c>
      <c r="M20" s="41">
        <v>146</v>
      </c>
      <c r="N20" s="41">
        <v>144</v>
      </c>
      <c r="O20" s="41">
        <v>186</v>
      </c>
      <c r="P20" s="41">
        <v>193</v>
      </c>
      <c r="Q20" s="41">
        <v>222</v>
      </c>
      <c r="R20" s="41">
        <v>271</v>
      </c>
      <c r="S20" s="41">
        <v>266</v>
      </c>
      <c r="T20" s="41">
        <v>259</v>
      </c>
      <c r="U20" s="41">
        <v>289</v>
      </c>
      <c r="V20" s="41">
        <v>339</v>
      </c>
      <c r="W20" s="41">
        <v>406</v>
      </c>
      <c r="X20" s="41">
        <v>378</v>
      </c>
      <c r="Y20" s="41">
        <v>454</v>
      </c>
      <c r="Z20" s="1">
        <v>454</v>
      </c>
      <c r="AA20" s="1">
        <v>490</v>
      </c>
      <c r="AB20" s="1">
        <v>463</v>
      </c>
      <c r="AC20" s="1">
        <v>514</v>
      </c>
      <c r="AD20" s="62">
        <v>461</v>
      </c>
      <c r="AE20" s="41">
        <f>392+81</f>
        <v>473</v>
      </c>
      <c r="AF20" s="41">
        <f>454+74</f>
        <v>528</v>
      </c>
      <c r="AG20" s="41">
        <v>705</v>
      </c>
      <c r="AH20" s="41">
        <v>696</v>
      </c>
      <c r="AI20" s="41">
        <v>785</v>
      </c>
      <c r="AJ20" s="41">
        <v>758</v>
      </c>
      <c r="AK20" s="41">
        <v>789</v>
      </c>
      <c r="AL20" s="41">
        <v>750</v>
      </c>
      <c r="AM20" s="41">
        <v>769</v>
      </c>
      <c r="AN20" s="41">
        <v>688</v>
      </c>
      <c r="AO20" s="41">
        <v>750</v>
      </c>
      <c r="AP20" s="41">
        <v>937</v>
      </c>
      <c r="AQ20" s="41">
        <v>1022</v>
      </c>
      <c r="AR20" s="41">
        <v>1177</v>
      </c>
      <c r="AS20" s="41">
        <v>1306</v>
      </c>
      <c r="AT20" s="41">
        <v>1319</v>
      </c>
      <c r="AU20" s="41">
        <v>1277</v>
      </c>
      <c r="AV20" s="41">
        <v>1255</v>
      </c>
      <c r="AW20" s="1">
        <v>1275</v>
      </c>
      <c r="AX20" s="1">
        <v>1411</v>
      </c>
      <c r="AY20" s="1">
        <v>1475</v>
      </c>
      <c r="AZ20" s="1">
        <v>1601</v>
      </c>
      <c r="BA20" s="1">
        <v>1644</v>
      </c>
      <c r="BB20" s="1">
        <v>1601</v>
      </c>
      <c r="BC20" s="1">
        <v>1675</v>
      </c>
      <c r="BD20" s="1">
        <v>1802</v>
      </c>
      <c r="BE20" s="1">
        <v>1843</v>
      </c>
    </row>
    <row r="21" spans="1:57" ht="12.75" customHeight="1">
      <c r="A21" s="37" t="s">
        <v>28</v>
      </c>
      <c r="B21" s="62">
        <v>6</v>
      </c>
      <c r="C21" s="41">
        <v>3</v>
      </c>
      <c r="D21" s="41">
        <f>16+0</f>
        <v>16</v>
      </c>
      <c r="E21" s="41">
        <v>4</v>
      </c>
      <c r="F21" s="41">
        <v>7</v>
      </c>
      <c r="G21" s="41">
        <v>8</v>
      </c>
      <c r="H21" s="41">
        <v>12</v>
      </c>
      <c r="I21" s="41">
        <v>13</v>
      </c>
      <c r="J21" s="41">
        <v>12</v>
      </c>
      <c r="K21" s="41">
        <v>7</v>
      </c>
      <c r="L21" s="41">
        <v>17</v>
      </c>
      <c r="M21" s="41">
        <v>40</v>
      </c>
      <c r="N21" s="41">
        <v>57</v>
      </c>
      <c r="O21" s="41">
        <v>28</v>
      </c>
      <c r="P21" s="41">
        <v>22</v>
      </c>
      <c r="Q21" s="41">
        <v>29</v>
      </c>
      <c r="R21" s="41">
        <v>25</v>
      </c>
      <c r="S21" s="41">
        <v>24</v>
      </c>
      <c r="T21" s="41">
        <v>34</v>
      </c>
      <c r="U21" s="41">
        <v>43</v>
      </c>
      <c r="V21" s="41">
        <v>36</v>
      </c>
      <c r="W21" s="41">
        <v>43</v>
      </c>
      <c r="X21" s="41">
        <v>54</v>
      </c>
      <c r="Y21" s="41">
        <v>58</v>
      </c>
      <c r="Z21" s="1">
        <v>66</v>
      </c>
      <c r="AA21" s="1">
        <v>79</v>
      </c>
      <c r="AB21" s="1">
        <v>65</v>
      </c>
      <c r="AC21" s="1">
        <v>77</v>
      </c>
      <c r="AD21" s="62">
        <v>113</v>
      </c>
      <c r="AE21" s="41">
        <f>158+2</f>
        <v>160</v>
      </c>
      <c r="AF21" s="41">
        <f>149+0</f>
        <v>149</v>
      </c>
      <c r="AG21" s="41">
        <v>226</v>
      </c>
      <c r="AH21" s="41">
        <v>201</v>
      </c>
      <c r="AI21" s="41">
        <v>208</v>
      </c>
      <c r="AJ21" s="41">
        <v>203</v>
      </c>
      <c r="AK21" s="41">
        <v>208</v>
      </c>
      <c r="AL21" s="41">
        <v>241</v>
      </c>
      <c r="AM21" s="41">
        <v>179</v>
      </c>
      <c r="AN21" s="41">
        <v>226</v>
      </c>
      <c r="AO21" s="41">
        <v>216</v>
      </c>
      <c r="AP21" s="41">
        <v>220</v>
      </c>
      <c r="AQ21" s="41">
        <v>294</v>
      </c>
      <c r="AR21" s="41">
        <v>331</v>
      </c>
      <c r="AS21" s="41">
        <v>319</v>
      </c>
      <c r="AT21" s="41">
        <v>375</v>
      </c>
      <c r="AU21" s="41">
        <v>366</v>
      </c>
      <c r="AV21" s="41">
        <v>387</v>
      </c>
      <c r="AW21" s="1">
        <v>428</v>
      </c>
      <c r="AX21" s="1">
        <v>438</v>
      </c>
      <c r="AY21" s="1">
        <v>541</v>
      </c>
      <c r="AZ21" s="1">
        <v>502</v>
      </c>
      <c r="BA21" s="1">
        <v>479</v>
      </c>
      <c r="BB21" s="1">
        <v>456</v>
      </c>
      <c r="BC21" s="1">
        <v>513</v>
      </c>
      <c r="BD21" s="1">
        <v>518</v>
      </c>
      <c r="BE21" s="1">
        <v>510</v>
      </c>
    </row>
    <row r="22" spans="1:57" ht="12.75" customHeight="1">
      <c r="A22" s="42" t="s">
        <v>29</v>
      </c>
      <c r="B22" s="63">
        <v>1</v>
      </c>
      <c r="C22" s="43">
        <v>1</v>
      </c>
      <c r="D22" s="43">
        <f>0+0</f>
        <v>0</v>
      </c>
      <c r="E22" s="43">
        <v>1</v>
      </c>
      <c r="F22" s="43">
        <v>1</v>
      </c>
      <c r="G22" s="43">
        <v>3</v>
      </c>
      <c r="H22" s="43">
        <v>0</v>
      </c>
      <c r="I22" s="43">
        <v>0</v>
      </c>
      <c r="J22" s="43">
        <v>0</v>
      </c>
      <c r="K22" s="43">
        <v>1</v>
      </c>
      <c r="L22" s="43">
        <v>1</v>
      </c>
      <c r="M22" s="43">
        <v>1</v>
      </c>
      <c r="N22" s="43">
        <v>0</v>
      </c>
      <c r="O22" s="43">
        <v>0</v>
      </c>
      <c r="P22" s="43">
        <v>2</v>
      </c>
      <c r="Q22" s="43">
        <v>3</v>
      </c>
      <c r="R22" s="43">
        <v>2</v>
      </c>
      <c r="S22" s="43">
        <v>3</v>
      </c>
      <c r="T22" s="43">
        <v>1</v>
      </c>
      <c r="U22" s="43">
        <v>3</v>
      </c>
      <c r="V22" s="43">
        <v>2</v>
      </c>
      <c r="W22" s="43">
        <v>4</v>
      </c>
      <c r="X22" s="43">
        <v>5</v>
      </c>
      <c r="Y22" s="43">
        <v>3</v>
      </c>
      <c r="Z22" s="6">
        <v>2</v>
      </c>
      <c r="AA22" s="6">
        <v>6</v>
      </c>
      <c r="AB22" s="6">
        <v>2</v>
      </c>
      <c r="AC22" s="6">
        <v>5</v>
      </c>
      <c r="AD22" s="63">
        <v>21</v>
      </c>
      <c r="AE22" s="43">
        <v>38</v>
      </c>
      <c r="AF22" s="43">
        <f>28+0</f>
        <v>28</v>
      </c>
      <c r="AG22" s="43">
        <v>32</v>
      </c>
      <c r="AH22" s="43">
        <v>24</v>
      </c>
      <c r="AI22" s="43">
        <v>37</v>
      </c>
      <c r="AJ22" s="43">
        <v>49</v>
      </c>
      <c r="AK22" s="43">
        <v>38</v>
      </c>
      <c r="AL22" s="43">
        <v>42</v>
      </c>
      <c r="AM22" s="43">
        <v>40</v>
      </c>
      <c r="AN22" s="43">
        <v>44</v>
      </c>
      <c r="AO22" s="43">
        <v>47</v>
      </c>
      <c r="AP22" s="43">
        <v>52</v>
      </c>
      <c r="AQ22" s="43">
        <v>70</v>
      </c>
      <c r="AR22" s="43">
        <v>75</v>
      </c>
      <c r="AS22" s="43">
        <v>62</v>
      </c>
      <c r="AT22" s="43">
        <v>70</v>
      </c>
      <c r="AU22" s="43">
        <v>58</v>
      </c>
      <c r="AV22" s="43">
        <v>56</v>
      </c>
      <c r="AW22" s="1">
        <v>60</v>
      </c>
      <c r="AX22" s="1">
        <v>52</v>
      </c>
      <c r="AY22" s="1">
        <v>65</v>
      </c>
      <c r="AZ22" s="1">
        <v>55</v>
      </c>
      <c r="BA22" s="1">
        <v>55</v>
      </c>
      <c r="BB22" s="6">
        <v>88</v>
      </c>
      <c r="BC22" s="6">
        <v>92</v>
      </c>
      <c r="BD22" s="6">
        <v>75</v>
      </c>
      <c r="BE22" s="6">
        <v>67</v>
      </c>
    </row>
    <row r="23" spans="1:57" ht="12.75" customHeight="1">
      <c r="A23" s="37" t="s">
        <v>210</v>
      </c>
      <c r="B23" s="60">
        <f t="shared" ref="B23:AU23" si="22">SUM(B25:B37)</f>
        <v>257</v>
      </c>
      <c r="C23" s="38">
        <f t="shared" si="22"/>
        <v>0</v>
      </c>
      <c r="D23" s="38">
        <f t="shared" si="22"/>
        <v>0</v>
      </c>
      <c r="E23" s="38">
        <f t="shared" si="22"/>
        <v>232</v>
      </c>
      <c r="F23" s="38">
        <f t="shared" si="22"/>
        <v>234</v>
      </c>
      <c r="G23" s="38">
        <f t="shared" si="22"/>
        <v>286</v>
      </c>
      <c r="H23" s="38">
        <f t="shared" si="22"/>
        <v>315</v>
      </c>
      <c r="I23" s="38">
        <f t="shared" si="22"/>
        <v>326</v>
      </c>
      <c r="J23" s="38">
        <f t="shared" si="22"/>
        <v>343</v>
      </c>
      <c r="K23" s="38">
        <f t="shared" si="22"/>
        <v>391</v>
      </c>
      <c r="L23" s="38">
        <f t="shared" si="22"/>
        <v>410</v>
      </c>
      <c r="M23" s="38">
        <f t="shared" si="22"/>
        <v>424</v>
      </c>
      <c r="N23" s="38">
        <f t="shared" si="22"/>
        <v>483</v>
      </c>
      <c r="O23" s="38">
        <f t="shared" si="22"/>
        <v>518</v>
      </c>
      <c r="P23" s="38">
        <f t="shared" si="22"/>
        <v>540</v>
      </c>
      <c r="Q23" s="38">
        <f t="shared" si="22"/>
        <v>590</v>
      </c>
      <c r="R23" s="38">
        <f t="shared" si="22"/>
        <v>599</v>
      </c>
      <c r="S23" s="38">
        <f t="shared" si="22"/>
        <v>669</v>
      </c>
      <c r="T23" s="38">
        <f t="shared" ref="T23:U23" si="23">SUM(T25:T37)</f>
        <v>659</v>
      </c>
      <c r="U23" s="38">
        <f t="shared" si="23"/>
        <v>694</v>
      </c>
      <c r="V23" s="38">
        <f t="shared" ref="V23:W23" si="24">SUM(V25:V37)</f>
        <v>801</v>
      </c>
      <c r="W23" s="38">
        <f t="shared" si="24"/>
        <v>853</v>
      </c>
      <c r="X23" s="38">
        <f t="shared" ref="X23:AC23" si="25">SUM(X25:X37)</f>
        <v>876</v>
      </c>
      <c r="Y23" s="38">
        <f t="shared" si="25"/>
        <v>1035</v>
      </c>
      <c r="Z23" s="38">
        <f t="shared" si="25"/>
        <v>986</v>
      </c>
      <c r="AA23" s="38">
        <f t="shared" si="25"/>
        <v>960</v>
      </c>
      <c r="AB23" s="38">
        <f t="shared" si="25"/>
        <v>1051</v>
      </c>
      <c r="AC23" s="38">
        <f t="shared" si="25"/>
        <v>1166</v>
      </c>
      <c r="AD23" s="60">
        <f t="shared" si="22"/>
        <v>1284</v>
      </c>
      <c r="AE23" s="38">
        <f t="shared" si="22"/>
        <v>0</v>
      </c>
      <c r="AF23" s="38">
        <f t="shared" si="22"/>
        <v>275</v>
      </c>
      <c r="AG23" s="38">
        <f t="shared" si="22"/>
        <v>1982</v>
      </c>
      <c r="AH23" s="38">
        <f t="shared" si="22"/>
        <v>2120</v>
      </c>
      <c r="AI23" s="38">
        <f t="shared" si="22"/>
        <v>2037</v>
      </c>
      <c r="AJ23" s="38">
        <f t="shared" si="22"/>
        <v>1992</v>
      </c>
      <c r="AK23" s="38">
        <f t="shared" si="22"/>
        <v>1977</v>
      </c>
      <c r="AL23" s="38">
        <f t="shared" si="22"/>
        <v>2026</v>
      </c>
      <c r="AM23" s="38">
        <f t="shared" si="22"/>
        <v>1928</v>
      </c>
      <c r="AN23" s="38">
        <f t="shared" si="22"/>
        <v>1570</v>
      </c>
      <c r="AO23" s="38">
        <f t="shared" si="22"/>
        <v>2082</v>
      </c>
      <c r="AP23" s="38">
        <f t="shared" si="22"/>
        <v>2327</v>
      </c>
      <c r="AQ23" s="38">
        <f t="shared" si="22"/>
        <v>2601</v>
      </c>
      <c r="AR23" s="38">
        <f t="shared" si="22"/>
        <v>2915</v>
      </c>
      <c r="AS23" s="38">
        <f t="shared" si="22"/>
        <v>3158</v>
      </c>
      <c r="AT23" s="38">
        <f t="shared" si="22"/>
        <v>3089</v>
      </c>
      <c r="AU23" s="38">
        <f t="shared" si="22"/>
        <v>3045</v>
      </c>
      <c r="AV23" s="38">
        <f t="shared" ref="AV23:AW23" si="26">SUM(AV25:AV37)</f>
        <v>2741</v>
      </c>
      <c r="AW23" s="38">
        <f t="shared" si="26"/>
        <v>2786</v>
      </c>
      <c r="AX23" s="38">
        <f t="shared" ref="AX23:AY23" si="27">SUM(AX25:AX37)</f>
        <v>2943</v>
      </c>
      <c r="AY23" s="38">
        <f t="shared" si="27"/>
        <v>3113</v>
      </c>
      <c r="AZ23" s="38">
        <f t="shared" ref="AZ23:BE23" si="28">SUM(AZ25:AZ37)</f>
        <v>3113</v>
      </c>
      <c r="BA23" s="38">
        <f t="shared" si="28"/>
        <v>2990</v>
      </c>
      <c r="BB23" s="38">
        <f t="shared" si="28"/>
        <v>3047</v>
      </c>
      <c r="BC23" s="38">
        <f t="shared" si="28"/>
        <v>3144</v>
      </c>
      <c r="BD23" s="38">
        <f t="shared" si="28"/>
        <v>3206</v>
      </c>
      <c r="BE23" s="38">
        <f t="shared" si="28"/>
        <v>3473</v>
      </c>
    </row>
    <row r="24" spans="1:57" ht="12.75" customHeight="1">
      <c r="A24" s="39" t="s">
        <v>213</v>
      </c>
      <c r="B24" s="61">
        <f t="shared" ref="B24:AU24" si="29">(B23/B4)*100</f>
        <v>35.64493758668516</v>
      </c>
      <c r="C24" s="40">
        <f t="shared" si="29"/>
        <v>0</v>
      </c>
      <c r="D24" s="40">
        <f t="shared" si="29"/>
        <v>0</v>
      </c>
      <c r="E24" s="40">
        <f t="shared" si="29"/>
        <v>29.072681704260649</v>
      </c>
      <c r="F24" s="40">
        <f t="shared" si="29"/>
        <v>29.1044776119403</v>
      </c>
      <c r="G24" s="40">
        <f t="shared" si="29"/>
        <v>32.873563218390807</v>
      </c>
      <c r="H24" s="40">
        <f t="shared" si="29"/>
        <v>33.404029692470836</v>
      </c>
      <c r="I24" s="40">
        <f t="shared" si="29"/>
        <v>34.315789473684212</v>
      </c>
      <c r="J24" s="40">
        <f t="shared" si="29"/>
        <v>32.116104868913858</v>
      </c>
      <c r="K24" s="40">
        <f t="shared" si="29"/>
        <v>32.207578253706757</v>
      </c>
      <c r="L24" s="40">
        <f t="shared" si="29"/>
        <v>32.984714400643604</v>
      </c>
      <c r="M24" s="40">
        <f t="shared" si="29"/>
        <v>29.100892244337679</v>
      </c>
      <c r="N24" s="40">
        <f t="shared" si="29"/>
        <v>31.021194605009633</v>
      </c>
      <c r="O24" s="40">
        <f t="shared" si="29"/>
        <v>30.614657210401891</v>
      </c>
      <c r="P24" s="40">
        <f t="shared" si="29"/>
        <v>31.177829099307157</v>
      </c>
      <c r="Q24" s="40">
        <f t="shared" si="29"/>
        <v>31.517094017094017</v>
      </c>
      <c r="R24" s="40">
        <f t="shared" si="29"/>
        <v>29.478346456692911</v>
      </c>
      <c r="S24" s="40">
        <f t="shared" si="29"/>
        <v>31.616257088846883</v>
      </c>
      <c r="T24" s="40">
        <f t="shared" ref="T24:U24" si="30">(T23/T4)*100</f>
        <v>31.897386253630206</v>
      </c>
      <c r="U24" s="40">
        <f t="shared" si="30"/>
        <v>31.55979990904957</v>
      </c>
      <c r="V24" s="40">
        <f t="shared" ref="V24:W24" si="31">(V23/V4)*100</f>
        <v>33.140256516342575</v>
      </c>
      <c r="W24" s="40">
        <f t="shared" si="31"/>
        <v>33.203581159984431</v>
      </c>
      <c r="X24" s="40">
        <f t="shared" ref="X24:AC24" si="32">(X23/X4)*100</f>
        <v>31.386599785023289</v>
      </c>
      <c r="Y24" s="40">
        <f t="shared" si="32"/>
        <v>33.945555919973764</v>
      </c>
      <c r="Z24" s="40">
        <f t="shared" si="32"/>
        <v>30.162129091465278</v>
      </c>
      <c r="AA24" s="40">
        <f t="shared" si="32"/>
        <v>27.931335466977014</v>
      </c>
      <c r="AB24" s="40">
        <f t="shared" si="32"/>
        <v>29.275766016713089</v>
      </c>
      <c r="AC24" s="40">
        <f t="shared" si="32"/>
        <v>30.619747899159666</v>
      </c>
      <c r="AD24" s="61">
        <f t="shared" si="29"/>
        <v>20.195029883611198</v>
      </c>
      <c r="AE24" s="40">
        <f t="shared" si="29"/>
        <v>0</v>
      </c>
      <c r="AF24" s="40">
        <f t="shared" si="29"/>
        <v>10.00363768643143</v>
      </c>
      <c r="AG24" s="40">
        <f t="shared" si="29"/>
        <v>18.367157816699102</v>
      </c>
      <c r="AH24" s="40">
        <f t="shared" si="29"/>
        <v>18.562297522108398</v>
      </c>
      <c r="AI24" s="40">
        <f t="shared" si="29"/>
        <v>17.857455948102043</v>
      </c>
      <c r="AJ24" s="40">
        <f t="shared" si="29"/>
        <v>17.811158798283262</v>
      </c>
      <c r="AK24" s="40">
        <f t="shared" si="29"/>
        <v>17.289024923480543</v>
      </c>
      <c r="AL24" s="40">
        <f t="shared" si="29"/>
        <v>17.725284339457566</v>
      </c>
      <c r="AM24" s="40">
        <f t="shared" si="29"/>
        <v>16.992772783359776</v>
      </c>
      <c r="AN24" s="40">
        <f t="shared" si="29"/>
        <v>15.561502626623055</v>
      </c>
      <c r="AO24" s="40">
        <f t="shared" si="29"/>
        <v>17.90813693445725</v>
      </c>
      <c r="AP24" s="40">
        <f t="shared" si="29"/>
        <v>18.246687054026502</v>
      </c>
      <c r="AQ24" s="40">
        <f t="shared" si="29"/>
        <v>18.135545948961092</v>
      </c>
      <c r="AR24" s="40">
        <f t="shared" si="29"/>
        <v>18.255260521042086</v>
      </c>
      <c r="AS24" s="40">
        <f t="shared" si="29"/>
        <v>18.583029304460396</v>
      </c>
      <c r="AT24" s="40">
        <f t="shared" si="29"/>
        <v>17.961390859402258</v>
      </c>
      <c r="AU24" s="40">
        <f t="shared" si="29"/>
        <v>18.230258037478297</v>
      </c>
      <c r="AV24" s="40">
        <f t="shared" ref="AV24:AW24" si="33">(AV23/AV4)*100</f>
        <v>17.530058838577641</v>
      </c>
      <c r="AW24" s="40">
        <f t="shared" si="33"/>
        <v>17.122487861840082</v>
      </c>
      <c r="AX24" s="40">
        <f t="shared" ref="AX24:AY24" si="34">(AX23/AX4)*100</f>
        <v>17.479360931282294</v>
      </c>
      <c r="AY24" s="40">
        <f t="shared" si="34"/>
        <v>17.669428993075265</v>
      </c>
      <c r="AZ24" s="40">
        <f t="shared" ref="AZ24:BE24" si="35">(AZ23/AZ4)*100</f>
        <v>17.023952750738268</v>
      </c>
      <c r="BA24" s="40">
        <f t="shared" si="35"/>
        <v>16.413240379864959</v>
      </c>
      <c r="BB24" s="40">
        <f t="shared" si="35"/>
        <v>16.503276823918107</v>
      </c>
      <c r="BC24" s="40">
        <f t="shared" si="35"/>
        <v>16.678160309797889</v>
      </c>
      <c r="BD24" s="40">
        <f t="shared" si="35"/>
        <v>16.274937814102238</v>
      </c>
      <c r="BE24" s="40">
        <f t="shared" si="35"/>
        <v>17.130314688763935</v>
      </c>
    </row>
    <row r="25" spans="1:57" ht="12.75" customHeight="1">
      <c r="A25" s="37" t="s">
        <v>125</v>
      </c>
      <c r="B25" s="62">
        <v>0</v>
      </c>
      <c r="C25" s="41"/>
      <c r="D25" s="41"/>
      <c r="E25" s="41">
        <v>0</v>
      </c>
      <c r="F25" s="41">
        <v>0</v>
      </c>
      <c r="G25" s="41">
        <v>0</v>
      </c>
      <c r="H25" s="41">
        <v>0</v>
      </c>
      <c r="I25" s="41">
        <v>0</v>
      </c>
      <c r="J25" s="41">
        <v>0</v>
      </c>
      <c r="K25" s="41">
        <v>0</v>
      </c>
      <c r="L25" s="41">
        <v>0</v>
      </c>
      <c r="M25" s="41">
        <v>0</v>
      </c>
      <c r="N25" s="41">
        <v>0</v>
      </c>
      <c r="O25" s="41">
        <v>0</v>
      </c>
      <c r="P25" s="41"/>
      <c r="Q25" s="41">
        <v>2</v>
      </c>
      <c r="R25" s="41">
        <v>0</v>
      </c>
      <c r="S25" s="41">
        <v>2</v>
      </c>
      <c r="T25" s="41">
        <v>0</v>
      </c>
      <c r="U25" s="41">
        <v>1</v>
      </c>
      <c r="V25" s="41">
        <v>2</v>
      </c>
      <c r="W25" s="41">
        <v>1</v>
      </c>
      <c r="X25" s="41">
        <v>1</v>
      </c>
      <c r="Y25" s="41">
        <v>0</v>
      </c>
      <c r="Z25" s="1">
        <v>2</v>
      </c>
      <c r="AA25" s="1">
        <v>3</v>
      </c>
      <c r="AB25" s="1">
        <v>1</v>
      </c>
      <c r="AC25" s="1">
        <v>1</v>
      </c>
      <c r="AD25" s="62">
        <v>1</v>
      </c>
      <c r="AE25" s="41"/>
      <c r="AF25" s="41"/>
      <c r="AG25" s="41">
        <v>6</v>
      </c>
      <c r="AH25" s="41">
        <v>3</v>
      </c>
      <c r="AI25" s="41">
        <v>11</v>
      </c>
      <c r="AJ25" s="41">
        <v>9</v>
      </c>
      <c r="AK25" s="41">
        <v>9</v>
      </c>
      <c r="AL25" s="41">
        <v>7</v>
      </c>
      <c r="AM25" s="41">
        <v>14</v>
      </c>
      <c r="AN25" s="41">
        <v>4</v>
      </c>
      <c r="AO25" s="41">
        <v>12</v>
      </c>
      <c r="AP25" s="41">
        <v>4</v>
      </c>
      <c r="AQ25" s="41">
        <v>11</v>
      </c>
      <c r="AR25" s="41">
        <v>6</v>
      </c>
      <c r="AS25" s="41">
        <v>10</v>
      </c>
      <c r="AT25" s="41">
        <v>9</v>
      </c>
      <c r="AU25" s="41">
        <v>7</v>
      </c>
      <c r="AV25" s="41">
        <v>9</v>
      </c>
      <c r="AW25" s="1">
        <v>7</v>
      </c>
      <c r="AX25" s="1">
        <v>6</v>
      </c>
      <c r="AY25" s="1">
        <v>12</v>
      </c>
      <c r="AZ25" s="1">
        <v>14</v>
      </c>
      <c r="BA25" s="1">
        <v>10</v>
      </c>
      <c r="BB25" s="1">
        <v>10</v>
      </c>
      <c r="BC25" s="1">
        <v>7</v>
      </c>
      <c r="BD25" s="1">
        <v>8</v>
      </c>
      <c r="BE25" s="1">
        <v>9</v>
      </c>
    </row>
    <row r="26" spans="1:57" ht="12.75" customHeight="1">
      <c r="A26" s="37" t="s">
        <v>126</v>
      </c>
      <c r="B26" s="62">
        <v>9</v>
      </c>
      <c r="C26" s="41"/>
      <c r="D26" s="41"/>
      <c r="E26" s="41">
        <v>26</v>
      </c>
      <c r="F26" s="41">
        <v>16</v>
      </c>
      <c r="G26" s="41">
        <v>37</v>
      </c>
      <c r="H26" s="41">
        <v>40</v>
      </c>
      <c r="I26" s="41">
        <v>40</v>
      </c>
      <c r="J26" s="41">
        <v>35</v>
      </c>
      <c r="K26" s="41">
        <v>53</v>
      </c>
      <c r="L26" s="41">
        <v>30</v>
      </c>
      <c r="M26" s="41">
        <v>56</v>
      </c>
      <c r="N26" s="41">
        <v>57</v>
      </c>
      <c r="O26" s="41">
        <v>55</v>
      </c>
      <c r="P26" s="41">
        <v>39</v>
      </c>
      <c r="Q26" s="41">
        <v>54</v>
      </c>
      <c r="R26" s="41">
        <v>68</v>
      </c>
      <c r="S26" s="41">
        <v>97</v>
      </c>
      <c r="T26" s="41">
        <v>89</v>
      </c>
      <c r="U26" s="41">
        <v>73</v>
      </c>
      <c r="V26" s="41">
        <v>109</v>
      </c>
      <c r="W26" s="41">
        <v>99</v>
      </c>
      <c r="X26" s="41">
        <v>118</v>
      </c>
      <c r="Y26" s="41">
        <v>101</v>
      </c>
      <c r="Z26" s="1">
        <v>117</v>
      </c>
      <c r="AA26" s="1">
        <v>108</v>
      </c>
      <c r="AB26" s="1">
        <v>149</v>
      </c>
      <c r="AC26" s="1">
        <v>174</v>
      </c>
      <c r="AD26" s="62">
        <v>127</v>
      </c>
      <c r="AE26" s="41"/>
      <c r="AF26" s="41"/>
      <c r="AG26" s="41">
        <v>189</v>
      </c>
      <c r="AH26" s="41">
        <v>178</v>
      </c>
      <c r="AI26" s="41">
        <v>198</v>
      </c>
      <c r="AJ26" s="41">
        <v>166</v>
      </c>
      <c r="AK26" s="41">
        <v>186</v>
      </c>
      <c r="AL26" s="41">
        <v>205</v>
      </c>
      <c r="AM26" s="41">
        <v>180</v>
      </c>
      <c r="AN26" s="41">
        <v>185</v>
      </c>
      <c r="AO26" s="41">
        <v>75</v>
      </c>
      <c r="AP26" s="41">
        <v>224</v>
      </c>
      <c r="AQ26" s="41">
        <v>204</v>
      </c>
      <c r="AR26" s="41">
        <v>261</v>
      </c>
      <c r="AS26" s="41">
        <v>307</v>
      </c>
      <c r="AT26" s="41">
        <v>270</v>
      </c>
      <c r="AU26" s="41">
        <v>364</v>
      </c>
      <c r="AV26" s="41">
        <v>322</v>
      </c>
      <c r="AW26" s="1">
        <v>300</v>
      </c>
      <c r="AX26" s="1">
        <v>359</v>
      </c>
      <c r="AY26" s="1">
        <v>344</v>
      </c>
      <c r="AZ26" s="1">
        <v>301</v>
      </c>
      <c r="BA26" s="1">
        <v>391</v>
      </c>
      <c r="BB26" s="1">
        <v>374</v>
      </c>
      <c r="BC26" s="1">
        <v>375</v>
      </c>
      <c r="BD26" s="1">
        <v>387</v>
      </c>
      <c r="BE26" s="1">
        <v>388</v>
      </c>
    </row>
    <row r="27" spans="1:57" ht="12.75" customHeight="1">
      <c r="A27" s="37" t="s">
        <v>127</v>
      </c>
      <c r="B27" s="62">
        <v>197</v>
      </c>
      <c r="C27" s="41"/>
      <c r="D27" s="41"/>
      <c r="E27" s="41">
        <v>136</v>
      </c>
      <c r="F27" s="41">
        <v>169</v>
      </c>
      <c r="G27" s="41">
        <v>171</v>
      </c>
      <c r="H27" s="41">
        <v>201</v>
      </c>
      <c r="I27" s="41">
        <v>200</v>
      </c>
      <c r="J27" s="41">
        <v>233</v>
      </c>
      <c r="K27" s="41">
        <v>243</v>
      </c>
      <c r="L27" s="41">
        <v>270</v>
      </c>
      <c r="M27" s="41">
        <v>279</v>
      </c>
      <c r="N27" s="41">
        <v>304</v>
      </c>
      <c r="O27" s="41">
        <v>321</v>
      </c>
      <c r="P27" s="41">
        <v>356</v>
      </c>
      <c r="Q27" s="41">
        <v>401</v>
      </c>
      <c r="R27" s="41">
        <v>395</v>
      </c>
      <c r="S27" s="41">
        <v>413</v>
      </c>
      <c r="T27" s="41">
        <v>453</v>
      </c>
      <c r="U27" s="41">
        <v>466</v>
      </c>
      <c r="V27" s="41">
        <v>512</v>
      </c>
      <c r="W27" s="41">
        <v>558</v>
      </c>
      <c r="X27" s="41">
        <v>579</v>
      </c>
      <c r="Y27" s="41">
        <v>710</v>
      </c>
      <c r="Z27" s="1">
        <v>632</v>
      </c>
      <c r="AA27" s="1">
        <v>620</v>
      </c>
      <c r="AB27" s="1">
        <v>649</v>
      </c>
      <c r="AC27" s="1">
        <v>698</v>
      </c>
      <c r="AD27" s="62">
        <v>747</v>
      </c>
      <c r="AE27" s="41"/>
      <c r="AF27" s="41"/>
      <c r="AG27" s="41">
        <v>1085</v>
      </c>
      <c r="AH27" s="41">
        <v>1177</v>
      </c>
      <c r="AI27" s="41">
        <v>1161</v>
      </c>
      <c r="AJ27" s="41">
        <v>1108</v>
      </c>
      <c r="AK27" s="41">
        <v>1113</v>
      </c>
      <c r="AL27" s="41">
        <v>1146</v>
      </c>
      <c r="AM27" s="41">
        <v>1077</v>
      </c>
      <c r="AN27" s="41">
        <v>1065</v>
      </c>
      <c r="AO27" s="41">
        <v>1340</v>
      </c>
      <c r="AP27" s="41">
        <v>1390</v>
      </c>
      <c r="AQ27" s="41">
        <v>1596</v>
      </c>
      <c r="AR27" s="41">
        <v>1788</v>
      </c>
      <c r="AS27" s="41">
        <v>1978</v>
      </c>
      <c r="AT27" s="41">
        <v>1888</v>
      </c>
      <c r="AU27" s="41">
        <v>1772</v>
      </c>
      <c r="AV27" s="41">
        <v>1576</v>
      </c>
      <c r="AW27" s="1">
        <v>1568</v>
      </c>
      <c r="AX27" s="1">
        <v>1641</v>
      </c>
      <c r="AY27" s="1">
        <v>1738</v>
      </c>
      <c r="AZ27" s="1">
        <v>1743</v>
      </c>
      <c r="BA27" s="1">
        <v>1540</v>
      </c>
      <c r="BB27" s="1">
        <v>1641</v>
      </c>
      <c r="BC27" s="1">
        <v>1693</v>
      </c>
      <c r="BD27" s="1">
        <v>1736</v>
      </c>
      <c r="BE27" s="1">
        <v>1893</v>
      </c>
    </row>
    <row r="28" spans="1:57" ht="12.75" customHeight="1">
      <c r="A28" s="37" t="s">
        <v>128</v>
      </c>
      <c r="B28" s="62">
        <v>24</v>
      </c>
      <c r="C28" s="41"/>
      <c r="D28" s="41"/>
      <c r="E28" s="41">
        <v>18</v>
      </c>
      <c r="F28" s="41">
        <v>13</v>
      </c>
      <c r="G28" s="41">
        <v>22</v>
      </c>
      <c r="H28" s="41">
        <v>20</v>
      </c>
      <c r="I28" s="41">
        <v>23</v>
      </c>
      <c r="J28" s="41">
        <v>21</v>
      </c>
      <c r="K28" s="41">
        <v>22</v>
      </c>
      <c r="L28" s="41">
        <v>29</v>
      </c>
      <c r="M28" s="41">
        <v>18</v>
      </c>
      <c r="N28" s="41">
        <v>41</v>
      </c>
      <c r="O28" s="41">
        <v>48</v>
      </c>
      <c r="P28" s="41">
        <v>44</v>
      </c>
      <c r="Q28" s="41">
        <v>37</v>
      </c>
      <c r="R28" s="41">
        <v>39</v>
      </c>
      <c r="S28" s="41">
        <v>61</v>
      </c>
      <c r="T28" s="41">
        <v>33</v>
      </c>
      <c r="U28" s="41">
        <v>36</v>
      </c>
      <c r="V28" s="41">
        <v>41</v>
      </c>
      <c r="W28" s="41">
        <v>47</v>
      </c>
      <c r="X28" s="41">
        <v>39</v>
      </c>
      <c r="Y28" s="41">
        <v>56</v>
      </c>
      <c r="Z28" s="1">
        <v>56</v>
      </c>
      <c r="AA28" s="1">
        <v>61</v>
      </c>
      <c r="AB28" s="1">
        <v>59</v>
      </c>
      <c r="AC28" s="1">
        <v>73</v>
      </c>
      <c r="AD28" s="62">
        <v>75</v>
      </c>
      <c r="AE28" s="41"/>
      <c r="AF28" s="41"/>
      <c r="AG28" s="41">
        <v>146</v>
      </c>
      <c r="AH28" s="41">
        <v>199</v>
      </c>
      <c r="AI28" s="41">
        <v>173</v>
      </c>
      <c r="AJ28" s="41">
        <v>170</v>
      </c>
      <c r="AK28" s="41">
        <v>145</v>
      </c>
      <c r="AL28" s="41">
        <v>151</v>
      </c>
      <c r="AM28" s="41">
        <v>146</v>
      </c>
      <c r="AN28" s="41">
        <v>123</v>
      </c>
      <c r="AO28" s="41">
        <v>178</v>
      </c>
      <c r="AP28" s="41">
        <v>156</v>
      </c>
      <c r="AQ28" s="41">
        <v>176</v>
      </c>
      <c r="AR28" s="41">
        <v>169</v>
      </c>
      <c r="AS28" s="41">
        <v>152</v>
      </c>
      <c r="AT28" s="41">
        <v>164</v>
      </c>
      <c r="AU28" s="41">
        <v>135</v>
      </c>
      <c r="AV28" s="41">
        <v>154</v>
      </c>
      <c r="AW28" s="1">
        <v>153</v>
      </c>
      <c r="AX28" s="1">
        <v>178</v>
      </c>
      <c r="AY28" s="1">
        <v>181</v>
      </c>
      <c r="AZ28" s="1">
        <v>226</v>
      </c>
      <c r="BA28" s="1">
        <v>214</v>
      </c>
      <c r="BB28" s="1">
        <v>227</v>
      </c>
      <c r="BC28" s="1">
        <v>233</v>
      </c>
      <c r="BD28" s="1">
        <v>229</v>
      </c>
      <c r="BE28" s="1">
        <v>260</v>
      </c>
    </row>
    <row r="29" spans="1:57" ht="12.75" customHeight="1">
      <c r="A29" s="37" t="s">
        <v>131</v>
      </c>
      <c r="B29" s="62">
        <v>0</v>
      </c>
      <c r="C29" s="41"/>
      <c r="D29" s="41"/>
      <c r="E29" s="41">
        <v>2</v>
      </c>
      <c r="F29" s="41">
        <v>0</v>
      </c>
      <c r="G29" s="41">
        <v>4</v>
      </c>
      <c r="H29" s="41">
        <v>4</v>
      </c>
      <c r="I29" s="41">
        <v>4</v>
      </c>
      <c r="J29" s="41">
        <v>3</v>
      </c>
      <c r="K29" s="41">
        <v>2</v>
      </c>
      <c r="L29" s="41">
        <v>3</v>
      </c>
      <c r="M29" s="41">
        <v>1</v>
      </c>
      <c r="N29" s="41">
        <v>2</v>
      </c>
      <c r="O29" s="41">
        <v>3</v>
      </c>
      <c r="P29" s="41">
        <v>4</v>
      </c>
      <c r="Q29" s="41">
        <v>3</v>
      </c>
      <c r="R29" s="41">
        <v>4</v>
      </c>
      <c r="S29" s="41">
        <v>7</v>
      </c>
      <c r="T29" s="41">
        <v>1</v>
      </c>
      <c r="U29" s="41">
        <v>7</v>
      </c>
      <c r="V29" s="41">
        <v>6</v>
      </c>
      <c r="W29" s="41">
        <v>9</v>
      </c>
      <c r="X29" s="41">
        <v>9</v>
      </c>
      <c r="Y29" s="41">
        <v>12</v>
      </c>
      <c r="Z29" s="1">
        <v>9</v>
      </c>
      <c r="AA29" s="1">
        <v>7</v>
      </c>
      <c r="AB29" s="1">
        <v>4</v>
      </c>
      <c r="AC29" s="1">
        <v>11</v>
      </c>
      <c r="AD29" s="62">
        <v>0</v>
      </c>
      <c r="AE29" s="41"/>
      <c r="AF29" s="41"/>
      <c r="AG29" s="41">
        <v>0</v>
      </c>
      <c r="AH29" s="41">
        <v>5</v>
      </c>
      <c r="AI29" s="41">
        <v>0</v>
      </c>
      <c r="AJ29" s="41">
        <v>0</v>
      </c>
      <c r="AK29" s="41">
        <v>0</v>
      </c>
      <c r="AL29" s="41">
        <v>0</v>
      </c>
      <c r="AM29" s="41">
        <v>0</v>
      </c>
      <c r="AN29" s="41">
        <v>0</v>
      </c>
      <c r="AO29" s="41">
        <v>0</v>
      </c>
      <c r="AP29" s="41">
        <v>0</v>
      </c>
      <c r="AQ29" s="41">
        <v>0</v>
      </c>
      <c r="AR29" s="41">
        <v>1</v>
      </c>
      <c r="AS29" s="41">
        <v>52</v>
      </c>
      <c r="AT29" s="41">
        <v>84</v>
      </c>
      <c r="AU29" s="41">
        <v>69</v>
      </c>
      <c r="AV29" s="41">
        <v>64</v>
      </c>
      <c r="AW29" s="1">
        <v>73</v>
      </c>
      <c r="AX29" s="1">
        <v>74</v>
      </c>
      <c r="AY29" s="1">
        <v>80</v>
      </c>
      <c r="AZ29" s="1">
        <v>69</v>
      </c>
      <c r="BA29" s="1">
        <v>70</v>
      </c>
      <c r="BB29" s="1">
        <v>58</v>
      </c>
      <c r="BC29" s="1">
        <v>61</v>
      </c>
      <c r="BD29" s="1">
        <v>61</v>
      </c>
      <c r="BE29" s="1">
        <v>65</v>
      </c>
    </row>
    <row r="30" spans="1:57" ht="12.75" customHeight="1">
      <c r="A30" s="37" t="s">
        <v>133</v>
      </c>
      <c r="B30" s="62">
        <v>0</v>
      </c>
      <c r="C30" s="41"/>
      <c r="D30" s="41"/>
      <c r="E30" s="41">
        <v>0</v>
      </c>
      <c r="F30" s="41">
        <v>0</v>
      </c>
      <c r="G30" s="41">
        <v>1</v>
      </c>
      <c r="H30" s="41">
        <v>1</v>
      </c>
      <c r="I30" s="41">
        <v>1</v>
      </c>
      <c r="J30" s="41">
        <v>0</v>
      </c>
      <c r="K30" s="41">
        <v>2</v>
      </c>
      <c r="L30" s="41">
        <v>2</v>
      </c>
      <c r="M30" s="41">
        <v>2</v>
      </c>
      <c r="N30" s="41">
        <v>2</v>
      </c>
      <c r="O30" s="41">
        <v>5</v>
      </c>
      <c r="P30" s="41">
        <v>1</v>
      </c>
      <c r="Q30" s="41">
        <v>3</v>
      </c>
      <c r="R30" s="41">
        <v>6</v>
      </c>
      <c r="S30" s="41">
        <v>3</v>
      </c>
      <c r="T30" s="41">
        <v>2</v>
      </c>
      <c r="U30" s="41">
        <v>2</v>
      </c>
      <c r="V30" s="41">
        <v>3</v>
      </c>
      <c r="W30" s="41">
        <v>2</v>
      </c>
      <c r="X30" s="41">
        <v>3</v>
      </c>
      <c r="Y30" s="41">
        <v>1</v>
      </c>
      <c r="Z30" s="1">
        <v>7</v>
      </c>
      <c r="AA30" s="1">
        <v>7</v>
      </c>
      <c r="AB30" s="1">
        <v>6</v>
      </c>
      <c r="AC30" s="1">
        <v>8</v>
      </c>
      <c r="AD30" s="62">
        <v>10</v>
      </c>
      <c r="AE30" s="41"/>
      <c r="AF30" s="41"/>
      <c r="AG30" s="41">
        <v>13</v>
      </c>
      <c r="AH30" s="41">
        <v>24</v>
      </c>
      <c r="AI30" s="41">
        <v>23</v>
      </c>
      <c r="AJ30" s="41">
        <v>22</v>
      </c>
      <c r="AK30" s="41">
        <v>19</v>
      </c>
      <c r="AL30" s="41">
        <v>21</v>
      </c>
      <c r="AM30" s="41">
        <v>15</v>
      </c>
      <c r="AN30" s="41">
        <v>21</v>
      </c>
      <c r="AO30" s="41">
        <v>28</v>
      </c>
      <c r="AP30" s="41">
        <v>30</v>
      </c>
      <c r="AQ30" s="41">
        <v>41</v>
      </c>
      <c r="AR30" s="41">
        <v>51</v>
      </c>
      <c r="AS30" s="41">
        <v>32</v>
      </c>
      <c r="AT30" s="41">
        <v>25</v>
      </c>
      <c r="AU30" s="41">
        <v>29</v>
      </c>
      <c r="AV30" s="41">
        <v>26</v>
      </c>
      <c r="AW30" s="1">
        <v>31</v>
      </c>
      <c r="AX30" s="1">
        <v>29</v>
      </c>
      <c r="AY30" s="1">
        <v>36</v>
      </c>
      <c r="AZ30" s="1">
        <v>43</v>
      </c>
      <c r="BA30" s="1">
        <v>31</v>
      </c>
      <c r="BB30" s="1">
        <v>24</v>
      </c>
      <c r="BC30" s="1">
        <v>21</v>
      </c>
      <c r="BD30" s="1">
        <v>26</v>
      </c>
      <c r="BE30" s="1">
        <v>30</v>
      </c>
    </row>
    <row r="31" spans="1:57" ht="12.75" customHeight="1">
      <c r="A31" s="37" t="s">
        <v>142</v>
      </c>
      <c r="B31" s="62">
        <v>0</v>
      </c>
      <c r="C31" s="41"/>
      <c r="D31" s="41"/>
      <c r="E31" s="41">
        <v>0</v>
      </c>
      <c r="F31" s="41">
        <v>0</v>
      </c>
      <c r="G31" s="41">
        <v>0</v>
      </c>
      <c r="H31" s="41">
        <v>0</v>
      </c>
      <c r="I31" s="41">
        <v>0</v>
      </c>
      <c r="J31" s="41">
        <v>1</v>
      </c>
      <c r="K31" s="41">
        <v>2</v>
      </c>
      <c r="L31" s="41">
        <v>0</v>
      </c>
      <c r="M31" s="41">
        <v>0</v>
      </c>
      <c r="N31" s="41">
        <v>1</v>
      </c>
      <c r="O31" s="41">
        <v>0</v>
      </c>
      <c r="P31" s="41">
        <v>0</v>
      </c>
      <c r="Q31" s="41">
        <v>3</v>
      </c>
      <c r="R31" s="41">
        <v>0</v>
      </c>
      <c r="S31" s="41">
        <v>4</v>
      </c>
      <c r="T31" s="41">
        <v>2</v>
      </c>
      <c r="U31" s="41">
        <v>4</v>
      </c>
      <c r="V31" s="41">
        <v>4</v>
      </c>
      <c r="W31" s="41">
        <v>1</v>
      </c>
      <c r="X31" s="41">
        <v>1</v>
      </c>
      <c r="Y31" s="41">
        <v>2</v>
      </c>
      <c r="Z31" s="1">
        <v>1</v>
      </c>
      <c r="AA31" s="1">
        <v>2</v>
      </c>
      <c r="AB31" s="1">
        <v>2</v>
      </c>
      <c r="AC31" s="1">
        <v>4</v>
      </c>
      <c r="AD31" s="62">
        <v>10</v>
      </c>
      <c r="AE31" s="41"/>
      <c r="AF31" s="41"/>
      <c r="AG31" s="41">
        <v>11</v>
      </c>
      <c r="AH31" s="41">
        <v>16</v>
      </c>
      <c r="AI31" s="41">
        <v>5</v>
      </c>
      <c r="AJ31" s="41">
        <v>11</v>
      </c>
      <c r="AK31" s="41">
        <v>6</v>
      </c>
      <c r="AL31" s="41">
        <v>17</v>
      </c>
      <c r="AM31" s="41">
        <v>14</v>
      </c>
      <c r="AN31" s="41">
        <v>7</v>
      </c>
      <c r="AO31" s="41">
        <v>10</v>
      </c>
      <c r="AP31" s="41">
        <v>10</v>
      </c>
      <c r="AQ31" s="41">
        <v>21</v>
      </c>
      <c r="AR31" s="41">
        <v>16</v>
      </c>
      <c r="AS31" s="41">
        <v>16</v>
      </c>
      <c r="AT31" s="41">
        <v>30</v>
      </c>
      <c r="AU31" s="41">
        <v>30</v>
      </c>
      <c r="AV31" s="41">
        <v>7</v>
      </c>
      <c r="AW31" s="1">
        <v>14</v>
      </c>
      <c r="AX31" s="1">
        <v>7</v>
      </c>
      <c r="AY31" s="1">
        <v>10</v>
      </c>
      <c r="AZ31" s="1">
        <v>9</v>
      </c>
      <c r="BA31" s="1">
        <v>13</v>
      </c>
      <c r="BB31" s="1">
        <v>12</v>
      </c>
      <c r="BC31" s="1">
        <v>17</v>
      </c>
      <c r="BD31" s="1">
        <v>14</v>
      </c>
      <c r="BE31" s="1">
        <v>24</v>
      </c>
    </row>
    <row r="32" spans="1:57" ht="12.75" customHeight="1">
      <c r="A32" s="37" t="s">
        <v>148</v>
      </c>
      <c r="B32" s="62">
        <v>3</v>
      </c>
      <c r="C32" s="41"/>
      <c r="D32" s="41"/>
      <c r="E32" s="41">
        <v>1</v>
      </c>
      <c r="F32" s="41">
        <v>1</v>
      </c>
      <c r="G32" s="41">
        <v>4</v>
      </c>
      <c r="H32" s="41">
        <v>1</v>
      </c>
      <c r="I32" s="41">
        <v>1</v>
      </c>
      <c r="J32" s="41">
        <v>1</v>
      </c>
      <c r="K32" s="41">
        <v>2</v>
      </c>
      <c r="L32" s="41">
        <v>5</v>
      </c>
      <c r="M32" s="41">
        <v>6</v>
      </c>
      <c r="N32" s="41">
        <v>1</v>
      </c>
      <c r="O32" s="41">
        <v>7</v>
      </c>
      <c r="P32" s="41">
        <v>3</v>
      </c>
      <c r="Q32" s="41">
        <v>5</v>
      </c>
      <c r="R32" s="41">
        <v>2</v>
      </c>
      <c r="S32" s="41">
        <v>9</v>
      </c>
      <c r="T32" s="41">
        <v>9</v>
      </c>
      <c r="U32" s="41">
        <v>7</v>
      </c>
      <c r="V32" s="41">
        <v>8</v>
      </c>
      <c r="W32" s="41">
        <v>15</v>
      </c>
      <c r="X32" s="41">
        <v>4</v>
      </c>
      <c r="Y32" s="41">
        <v>16</v>
      </c>
      <c r="Z32" s="1">
        <v>18</v>
      </c>
      <c r="AA32" s="1">
        <v>17</v>
      </c>
      <c r="AB32" s="1">
        <v>11</v>
      </c>
      <c r="AC32" s="1">
        <v>15</v>
      </c>
      <c r="AD32" s="62">
        <v>3</v>
      </c>
      <c r="AE32" s="41"/>
      <c r="AF32" s="41"/>
      <c r="AG32" s="41">
        <v>11</v>
      </c>
      <c r="AH32" s="41">
        <v>11</v>
      </c>
      <c r="AI32" s="41">
        <v>11</v>
      </c>
      <c r="AJ32" s="41">
        <v>9</v>
      </c>
      <c r="AK32" s="41">
        <v>12</v>
      </c>
      <c r="AL32" s="41">
        <v>20</v>
      </c>
      <c r="AM32" s="41">
        <v>22</v>
      </c>
      <c r="AN32" s="41">
        <v>12</v>
      </c>
      <c r="AO32" s="41">
        <v>25</v>
      </c>
      <c r="AP32" s="41">
        <v>25</v>
      </c>
      <c r="AQ32" s="41">
        <v>37</v>
      </c>
      <c r="AR32" s="41">
        <v>43</v>
      </c>
      <c r="AS32" s="41">
        <v>33</v>
      </c>
      <c r="AT32" s="41">
        <v>38</v>
      </c>
      <c r="AU32" s="41">
        <v>62</v>
      </c>
      <c r="AV32" s="41">
        <v>46</v>
      </c>
      <c r="AW32" s="1">
        <v>57</v>
      </c>
      <c r="AX32" s="1">
        <v>43</v>
      </c>
      <c r="AY32" s="1">
        <v>51</v>
      </c>
      <c r="AZ32" s="1">
        <v>48</v>
      </c>
      <c r="BA32" s="1">
        <v>56</v>
      </c>
      <c r="BB32" s="1">
        <v>57</v>
      </c>
      <c r="BC32" s="1">
        <v>54</v>
      </c>
      <c r="BD32" s="1">
        <v>68</v>
      </c>
      <c r="BE32" s="1">
        <v>59</v>
      </c>
    </row>
    <row r="33" spans="1:57" ht="12.75" customHeight="1">
      <c r="A33" s="37" t="s">
        <v>147</v>
      </c>
      <c r="B33" s="62">
        <v>16</v>
      </c>
      <c r="C33" s="41"/>
      <c r="D33" s="41"/>
      <c r="E33" s="41">
        <v>29</v>
      </c>
      <c r="F33" s="41">
        <v>19</v>
      </c>
      <c r="G33" s="41">
        <v>29</v>
      </c>
      <c r="H33" s="41">
        <v>31</v>
      </c>
      <c r="I33" s="41">
        <v>32</v>
      </c>
      <c r="J33" s="41">
        <v>29</v>
      </c>
      <c r="K33" s="41">
        <v>26</v>
      </c>
      <c r="L33" s="41">
        <v>28</v>
      </c>
      <c r="M33" s="41">
        <v>24</v>
      </c>
      <c r="N33" s="41">
        <v>34</v>
      </c>
      <c r="O33" s="41">
        <v>39</v>
      </c>
      <c r="P33" s="41">
        <v>39</v>
      </c>
      <c r="Q33" s="41">
        <v>40</v>
      </c>
      <c r="R33" s="41">
        <v>29</v>
      </c>
      <c r="S33" s="41">
        <v>26</v>
      </c>
      <c r="T33" s="41">
        <v>28</v>
      </c>
      <c r="U33" s="41">
        <v>36</v>
      </c>
      <c r="V33" s="41">
        <v>45</v>
      </c>
      <c r="W33" s="41">
        <v>49</v>
      </c>
      <c r="X33" s="41">
        <v>47</v>
      </c>
      <c r="Y33" s="41">
        <v>63</v>
      </c>
      <c r="Z33" s="1">
        <v>52</v>
      </c>
      <c r="AA33" s="1">
        <v>35</v>
      </c>
      <c r="AB33" s="1">
        <v>51</v>
      </c>
      <c r="AC33" s="1">
        <v>60</v>
      </c>
      <c r="AD33" s="62">
        <v>41</v>
      </c>
      <c r="AE33" s="41"/>
      <c r="AF33" s="41"/>
      <c r="AG33" s="41">
        <v>58</v>
      </c>
      <c r="AH33" s="41">
        <v>51</v>
      </c>
      <c r="AI33" s="41">
        <v>22</v>
      </c>
      <c r="AJ33" s="41">
        <v>65</v>
      </c>
      <c r="AK33" s="41">
        <v>63</v>
      </c>
      <c r="AL33" s="41">
        <v>62</v>
      </c>
      <c r="AM33" s="41">
        <v>88</v>
      </c>
      <c r="AN33" s="41">
        <v>50</v>
      </c>
      <c r="AO33" s="41">
        <v>50</v>
      </c>
      <c r="AP33" s="41">
        <v>65</v>
      </c>
      <c r="AQ33" s="41">
        <v>72</v>
      </c>
      <c r="AR33" s="41">
        <v>88</v>
      </c>
      <c r="AS33" s="41">
        <v>70</v>
      </c>
      <c r="AT33" s="41">
        <v>86</v>
      </c>
      <c r="AU33" s="41">
        <v>89</v>
      </c>
      <c r="AV33" s="41">
        <v>75</v>
      </c>
      <c r="AW33" s="1">
        <v>79</v>
      </c>
      <c r="AX33" s="1">
        <v>96</v>
      </c>
      <c r="AY33" s="1">
        <v>94</v>
      </c>
      <c r="AZ33" s="1">
        <v>111</v>
      </c>
      <c r="BA33" s="1">
        <v>100</v>
      </c>
      <c r="BB33" s="1">
        <v>89</v>
      </c>
      <c r="BC33" s="1">
        <v>100</v>
      </c>
      <c r="BD33" s="1">
        <v>101</v>
      </c>
      <c r="BE33" s="1">
        <v>94</v>
      </c>
    </row>
    <row r="34" spans="1:57" ht="12.75" customHeight="1">
      <c r="A34" s="37" t="s">
        <v>151</v>
      </c>
      <c r="B34" s="62">
        <v>1</v>
      </c>
      <c r="C34" s="41"/>
      <c r="D34" s="41"/>
      <c r="E34" s="41">
        <v>5</v>
      </c>
      <c r="F34" s="41">
        <v>3</v>
      </c>
      <c r="G34" s="41">
        <v>5</v>
      </c>
      <c r="H34" s="41">
        <v>4</v>
      </c>
      <c r="I34" s="41">
        <v>7</v>
      </c>
      <c r="J34" s="41">
        <v>6</v>
      </c>
      <c r="K34" s="41">
        <v>16</v>
      </c>
      <c r="L34" s="41">
        <v>8</v>
      </c>
      <c r="M34" s="41">
        <v>13</v>
      </c>
      <c r="N34" s="41">
        <v>14</v>
      </c>
      <c r="O34" s="41">
        <v>12</v>
      </c>
      <c r="P34" s="41">
        <v>17</v>
      </c>
      <c r="Q34" s="41">
        <v>12</v>
      </c>
      <c r="R34" s="41">
        <v>11</v>
      </c>
      <c r="S34" s="41">
        <v>13</v>
      </c>
      <c r="T34" s="41">
        <v>12</v>
      </c>
      <c r="U34" s="41">
        <v>15</v>
      </c>
      <c r="V34" s="41">
        <v>17</v>
      </c>
      <c r="W34" s="41">
        <v>11</v>
      </c>
      <c r="X34" s="41">
        <v>19</v>
      </c>
      <c r="Y34" s="41">
        <v>20</v>
      </c>
      <c r="Z34" s="1">
        <v>28</v>
      </c>
      <c r="AA34" s="1">
        <v>24</v>
      </c>
      <c r="AB34" s="1">
        <v>40</v>
      </c>
      <c r="AC34" s="1">
        <v>44</v>
      </c>
      <c r="AD34" s="62">
        <v>97</v>
      </c>
      <c r="AE34" s="41"/>
      <c r="AF34" s="41"/>
      <c r="AG34" s="41">
        <v>145</v>
      </c>
      <c r="AH34" s="41">
        <v>175</v>
      </c>
      <c r="AI34" s="41">
        <v>174</v>
      </c>
      <c r="AJ34" s="41">
        <v>132</v>
      </c>
      <c r="AK34" s="41">
        <v>170</v>
      </c>
      <c r="AL34" s="41">
        <v>139</v>
      </c>
      <c r="AM34" s="41">
        <v>132</v>
      </c>
      <c r="AN34" s="41">
        <v>103</v>
      </c>
      <c r="AO34" s="41">
        <v>127</v>
      </c>
      <c r="AP34" s="41">
        <v>137</v>
      </c>
      <c r="AQ34" s="41">
        <v>102</v>
      </c>
      <c r="AR34" s="41">
        <v>123</v>
      </c>
      <c r="AS34" s="41">
        <v>119</v>
      </c>
      <c r="AT34" s="41">
        <v>103</v>
      </c>
      <c r="AU34" s="41">
        <v>113</v>
      </c>
      <c r="AV34" s="41">
        <v>107</v>
      </c>
      <c r="AW34" s="1">
        <v>101</v>
      </c>
      <c r="AX34" s="1">
        <v>112</v>
      </c>
      <c r="AY34" s="1">
        <v>124</v>
      </c>
      <c r="AZ34" s="1">
        <v>101</v>
      </c>
      <c r="BA34" s="1">
        <v>112</v>
      </c>
      <c r="BB34" s="1">
        <v>107</v>
      </c>
      <c r="BC34" s="1">
        <v>161</v>
      </c>
      <c r="BD34" s="1">
        <v>132</v>
      </c>
      <c r="BE34" s="1">
        <v>154</v>
      </c>
    </row>
    <row r="35" spans="1:57" ht="12.75" customHeight="1">
      <c r="A35" s="37" t="s">
        <v>155</v>
      </c>
      <c r="B35" s="62">
        <v>1</v>
      </c>
      <c r="C35" s="41"/>
      <c r="D35" s="41"/>
      <c r="E35" s="41">
        <v>2</v>
      </c>
      <c r="F35" s="41">
        <v>2</v>
      </c>
      <c r="G35" s="41">
        <v>2</v>
      </c>
      <c r="H35" s="41">
        <v>4</v>
      </c>
      <c r="I35" s="41">
        <v>2</v>
      </c>
      <c r="J35" s="41">
        <v>1</v>
      </c>
      <c r="K35" s="41">
        <v>2</v>
      </c>
      <c r="L35" s="41">
        <v>8</v>
      </c>
      <c r="M35" s="41">
        <v>7</v>
      </c>
      <c r="N35" s="41">
        <v>7</v>
      </c>
      <c r="O35" s="41">
        <v>4</v>
      </c>
      <c r="P35" s="41">
        <v>7</v>
      </c>
      <c r="Q35" s="41">
        <v>4</v>
      </c>
      <c r="R35" s="41">
        <v>13</v>
      </c>
      <c r="S35" s="41">
        <v>12</v>
      </c>
      <c r="T35" s="41">
        <v>9</v>
      </c>
      <c r="U35" s="41">
        <v>10</v>
      </c>
      <c r="V35" s="41">
        <v>14</v>
      </c>
      <c r="W35" s="41">
        <v>19</v>
      </c>
      <c r="X35" s="41">
        <v>23</v>
      </c>
      <c r="Y35" s="41">
        <v>11</v>
      </c>
      <c r="Z35" s="1">
        <v>18</v>
      </c>
      <c r="AA35" s="1">
        <v>23</v>
      </c>
      <c r="AB35" s="1">
        <v>18</v>
      </c>
      <c r="AC35" s="1">
        <v>25</v>
      </c>
      <c r="AD35" s="62">
        <v>69</v>
      </c>
      <c r="AE35" s="41"/>
      <c r="AF35" s="41">
        <v>142</v>
      </c>
      <c r="AG35" s="41">
        <v>152</v>
      </c>
      <c r="AH35" s="41">
        <v>108</v>
      </c>
      <c r="AI35" s="41">
        <v>103</v>
      </c>
      <c r="AJ35" s="41">
        <v>130</v>
      </c>
      <c r="AK35" s="41">
        <v>99</v>
      </c>
      <c r="AL35" s="41">
        <v>100</v>
      </c>
      <c r="AM35" s="41">
        <v>96</v>
      </c>
      <c r="AN35" s="41"/>
      <c r="AO35" s="41">
        <v>82</v>
      </c>
      <c r="AP35" s="41">
        <v>96</v>
      </c>
      <c r="AQ35" s="41">
        <v>116</v>
      </c>
      <c r="AR35" s="41">
        <v>130</v>
      </c>
      <c r="AS35" s="41">
        <v>136</v>
      </c>
      <c r="AT35" s="41">
        <v>147</v>
      </c>
      <c r="AU35" s="41">
        <v>144</v>
      </c>
      <c r="AV35" s="41">
        <v>130</v>
      </c>
      <c r="AW35" s="1">
        <v>136</v>
      </c>
      <c r="AX35" s="1">
        <v>159</v>
      </c>
      <c r="AY35" s="1">
        <v>149</v>
      </c>
      <c r="AZ35" s="1">
        <v>146</v>
      </c>
      <c r="BA35" s="1">
        <v>159</v>
      </c>
      <c r="BB35" s="1">
        <v>158</v>
      </c>
      <c r="BC35" s="1">
        <v>137</v>
      </c>
      <c r="BD35" s="1">
        <v>127</v>
      </c>
      <c r="BE35" s="1">
        <v>135</v>
      </c>
    </row>
    <row r="36" spans="1:57" ht="12.75" customHeight="1">
      <c r="A36" s="37" t="s">
        <v>67</v>
      </c>
      <c r="B36" s="62">
        <v>6</v>
      </c>
      <c r="C36" s="41"/>
      <c r="D36" s="41"/>
      <c r="E36" s="41">
        <v>13</v>
      </c>
      <c r="F36" s="41">
        <v>11</v>
      </c>
      <c r="G36" s="41">
        <v>10</v>
      </c>
      <c r="H36" s="41">
        <v>9</v>
      </c>
      <c r="I36" s="41">
        <v>16</v>
      </c>
      <c r="J36" s="41">
        <v>13</v>
      </c>
      <c r="K36" s="41">
        <v>21</v>
      </c>
      <c r="L36" s="41">
        <v>25</v>
      </c>
      <c r="M36" s="41">
        <v>18</v>
      </c>
      <c r="N36" s="41">
        <v>18</v>
      </c>
      <c r="O36" s="41">
        <v>23</v>
      </c>
      <c r="P36" s="41">
        <v>29</v>
      </c>
      <c r="Q36" s="41">
        <v>24</v>
      </c>
      <c r="R36" s="41">
        <v>31</v>
      </c>
      <c r="S36" s="41">
        <v>20</v>
      </c>
      <c r="T36" s="41">
        <v>20</v>
      </c>
      <c r="U36" s="41">
        <v>36</v>
      </c>
      <c r="V36" s="41">
        <v>38</v>
      </c>
      <c r="W36" s="41">
        <v>41</v>
      </c>
      <c r="X36" s="41">
        <v>32</v>
      </c>
      <c r="Y36" s="41">
        <v>42</v>
      </c>
      <c r="Z36" s="1">
        <v>46</v>
      </c>
      <c r="AA36" s="1">
        <v>51</v>
      </c>
      <c r="AB36" s="1">
        <v>61</v>
      </c>
      <c r="AC36" s="1">
        <v>52</v>
      </c>
      <c r="AD36" s="62">
        <v>104</v>
      </c>
      <c r="AE36" s="41"/>
      <c r="AF36" s="41">
        <v>122</v>
      </c>
      <c r="AG36" s="41">
        <v>153</v>
      </c>
      <c r="AH36" s="41">
        <v>164</v>
      </c>
      <c r="AI36" s="41">
        <v>143</v>
      </c>
      <c r="AJ36" s="41">
        <v>153</v>
      </c>
      <c r="AK36" s="41">
        <v>133</v>
      </c>
      <c r="AL36" s="41">
        <v>142</v>
      </c>
      <c r="AM36" s="41">
        <v>129</v>
      </c>
      <c r="AN36" s="41"/>
      <c r="AO36" s="41">
        <v>149</v>
      </c>
      <c r="AP36" s="41">
        <v>185</v>
      </c>
      <c r="AQ36" s="41">
        <v>211</v>
      </c>
      <c r="AR36" s="41">
        <v>222</v>
      </c>
      <c r="AS36" s="41">
        <v>231</v>
      </c>
      <c r="AT36" s="41">
        <v>222</v>
      </c>
      <c r="AU36" s="41">
        <v>213</v>
      </c>
      <c r="AV36" s="41">
        <v>208</v>
      </c>
      <c r="AW36" s="1">
        <v>235</v>
      </c>
      <c r="AX36" s="1">
        <v>216</v>
      </c>
      <c r="AY36" s="1">
        <v>259</v>
      </c>
      <c r="AZ36" s="1">
        <v>252</v>
      </c>
      <c r="BA36" s="1">
        <v>265</v>
      </c>
      <c r="BB36" s="1">
        <v>246</v>
      </c>
      <c r="BC36" s="1">
        <v>253</v>
      </c>
      <c r="BD36" s="1">
        <v>263</v>
      </c>
      <c r="BE36" s="1">
        <v>328</v>
      </c>
    </row>
    <row r="37" spans="1:57" ht="12.75" customHeight="1">
      <c r="A37" s="42" t="s">
        <v>158</v>
      </c>
      <c r="B37" s="63">
        <v>0</v>
      </c>
      <c r="C37" s="43"/>
      <c r="D37" s="43"/>
      <c r="E37" s="43">
        <v>0</v>
      </c>
      <c r="F37" s="43">
        <v>0</v>
      </c>
      <c r="G37" s="43">
        <v>1</v>
      </c>
      <c r="H37" s="43">
        <v>0</v>
      </c>
      <c r="I37" s="43">
        <v>0</v>
      </c>
      <c r="J37" s="43">
        <v>0</v>
      </c>
      <c r="K37" s="43">
        <v>0</v>
      </c>
      <c r="L37" s="43">
        <v>2</v>
      </c>
      <c r="M37" s="43">
        <v>0</v>
      </c>
      <c r="N37" s="43">
        <v>2</v>
      </c>
      <c r="O37" s="43">
        <v>1</v>
      </c>
      <c r="P37" s="43">
        <v>1</v>
      </c>
      <c r="Q37" s="43">
        <v>2</v>
      </c>
      <c r="R37" s="43">
        <v>1</v>
      </c>
      <c r="S37" s="43">
        <v>2</v>
      </c>
      <c r="T37" s="43">
        <v>1</v>
      </c>
      <c r="U37" s="43">
        <v>1</v>
      </c>
      <c r="V37" s="43">
        <v>2</v>
      </c>
      <c r="W37" s="43">
        <v>1</v>
      </c>
      <c r="X37" s="43">
        <v>1</v>
      </c>
      <c r="Y37" s="43">
        <v>1</v>
      </c>
      <c r="Z37" s="1">
        <v>0</v>
      </c>
      <c r="AA37" s="1">
        <v>2</v>
      </c>
      <c r="AB37" s="1">
        <v>0</v>
      </c>
      <c r="AC37" s="1">
        <v>1</v>
      </c>
      <c r="AD37" s="63">
        <v>0</v>
      </c>
      <c r="AE37" s="43"/>
      <c r="AF37" s="43">
        <v>11</v>
      </c>
      <c r="AG37" s="43">
        <v>13</v>
      </c>
      <c r="AH37" s="43">
        <v>9</v>
      </c>
      <c r="AI37" s="43">
        <v>13</v>
      </c>
      <c r="AJ37" s="43">
        <v>17</v>
      </c>
      <c r="AK37" s="43">
        <v>22</v>
      </c>
      <c r="AL37" s="43">
        <v>16</v>
      </c>
      <c r="AM37" s="43">
        <v>15</v>
      </c>
      <c r="AN37" s="43"/>
      <c r="AO37" s="43">
        <v>6</v>
      </c>
      <c r="AP37" s="43">
        <v>5</v>
      </c>
      <c r="AQ37" s="43">
        <v>14</v>
      </c>
      <c r="AR37" s="43">
        <v>17</v>
      </c>
      <c r="AS37" s="43">
        <v>22</v>
      </c>
      <c r="AT37" s="43">
        <v>23</v>
      </c>
      <c r="AU37" s="43">
        <v>18</v>
      </c>
      <c r="AV37" s="43">
        <v>17</v>
      </c>
      <c r="AW37" s="1">
        <v>32</v>
      </c>
      <c r="AX37" s="1">
        <v>23</v>
      </c>
      <c r="AY37" s="1">
        <v>35</v>
      </c>
      <c r="AZ37" s="1">
        <v>50</v>
      </c>
      <c r="BA37" s="1">
        <v>29</v>
      </c>
      <c r="BB37" s="1">
        <v>44</v>
      </c>
      <c r="BC37" s="1">
        <v>32</v>
      </c>
      <c r="BD37" s="1">
        <v>54</v>
      </c>
      <c r="BE37" s="1">
        <v>34</v>
      </c>
    </row>
    <row r="38" spans="1:57" ht="12.75" customHeight="1">
      <c r="A38" s="37" t="s">
        <v>211</v>
      </c>
      <c r="B38" s="60">
        <f t="shared" ref="B38:AU38" si="36">SUM(B40:B51)</f>
        <v>111</v>
      </c>
      <c r="C38" s="38">
        <f t="shared" si="36"/>
        <v>0</v>
      </c>
      <c r="D38" s="38">
        <f t="shared" si="36"/>
        <v>0</v>
      </c>
      <c r="E38" s="38">
        <f t="shared" si="36"/>
        <v>133</v>
      </c>
      <c r="F38" s="38">
        <f t="shared" si="36"/>
        <v>148</v>
      </c>
      <c r="G38" s="38">
        <f t="shared" si="36"/>
        <v>152</v>
      </c>
      <c r="H38" s="38">
        <f t="shared" si="36"/>
        <v>180</v>
      </c>
      <c r="I38" s="38">
        <f t="shared" si="36"/>
        <v>169</v>
      </c>
      <c r="J38" s="38">
        <f t="shared" si="36"/>
        <v>177</v>
      </c>
      <c r="K38" s="38">
        <f t="shared" si="36"/>
        <v>224</v>
      </c>
      <c r="L38" s="38">
        <f t="shared" si="36"/>
        <v>192</v>
      </c>
      <c r="M38" s="38">
        <f t="shared" si="36"/>
        <v>253</v>
      </c>
      <c r="N38" s="38">
        <f t="shared" si="36"/>
        <v>255</v>
      </c>
      <c r="O38" s="38">
        <f t="shared" si="36"/>
        <v>282</v>
      </c>
      <c r="P38" s="38">
        <f t="shared" si="36"/>
        <v>286</v>
      </c>
      <c r="Q38" s="38">
        <f t="shared" si="36"/>
        <v>330</v>
      </c>
      <c r="R38" s="38">
        <f t="shared" si="36"/>
        <v>343</v>
      </c>
      <c r="S38" s="38">
        <f t="shared" si="36"/>
        <v>351</v>
      </c>
      <c r="T38" s="38">
        <f t="shared" ref="T38:U38" si="37">SUM(T40:T51)</f>
        <v>345</v>
      </c>
      <c r="U38" s="38">
        <f t="shared" si="37"/>
        <v>365</v>
      </c>
      <c r="V38" s="38">
        <f t="shared" ref="V38:W38" si="38">SUM(V40:V51)</f>
        <v>360</v>
      </c>
      <c r="W38" s="38">
        <f t="shared" si="38"/>
        <v>383</v>
      </c>
      <c r="X38" s="38">
        <f t="shared" ref="X38:AC38" si="39">SUM(X40:X51)</f>
        <v>400</v>
      </c>
      <c r="Y38" s="38">
        <f t="shared" si="39"/>
        <v>471</v>
      </c>
      <c r="Z38" s="38">
        <f t="shared" si="39"/>
        <v>471</v>
      </c>
      <c r="AA38" s="38">
        <f t="shared" si="39"/>
        <v>538</v>
      </c>
      <c r="AB38" s="38">
        <f t="shared" si="39"/>
        <v>556</v>
      </c>
      <c r="AC38" s="38">
        <f t="shared" si="39"/>
        <v>555</v>
      </c>
      <c r="AD38" s="60">
        <f t="shared" si="36"/>
        <v>1958</v>
      </c>
      <c r="AE38" s="38">
        <f t="shared" si="36"/>
        <v>0</v>
      </c>
      <c r="AF38" s="38">
        <f t="shared" si="36"/>
        <v>244</v>
      </c>
      <c r="AG38" s="38">
        <f t="shared" si="36"/>
        <v>3186</v>
      </c>
      <c r="AH38" s="38">
        <f t="shared" si="36"/>
        <v>3312</v>
      </c>
      <c r="AI38" s="38">
        <f t="shared" si="36"/>
        <v>3279</v>
      </c>
      <c r="AJ38" s="38">
        <f t="shared" si="36"/>
        <v>3334</v>
      </c>
      <c r="AK38" s="38">
        <f t="shared" si="36"/>
        <v>3365</v>
      </c>
      <c r="AL38" s="38">
        <f t="shared" si="36"/>
        <v>3236</v>
      </c>
      <c r="AM38" s="38">
        <f t="shared" si="36"/>
        <v>3169</v>
      </c>
      <c r="AN38" s="38">
        <f t="shared" si="36"/>
        <v>2782</v>
      </c>
      <c r="AO38" s="38">
        <f t="shared" si="36"/>
        <v>3251</v>
      </c>
      <c r="AP38" s="38">
        <f t="shared" si="36"/>
        <v>3348</v>
      </c>
      <c r="AQ38" s="38">
        <f t="shared" si="36"/>
        <v>3823</v>
      </c>
      <c r="AR38" s="38">
        <f t="shared" si="36"/>
        <v>4162</v>
      </c>
      <c r="AS38" s="38">
        <f t="shared" si="36"/>
        <v>4443</v>
      </c>
      <c r="AT38" s="38">
        <f t="shared" si="36"/>
        <v>4479</v>
      </c>
      <c r="AU38" s="38">
        <f t="shared" si="36"/>
        <v>4433</v>
      </c>
      <c r="AV38" s="38">
        <f t="shared" ref="AV38:AW38" si="40">SUM(AV40:AV51)</f>
        <v>4019</v>
      </c>
      <c r="AW38" s="38">
        <f t="shared" si="40"/>
        <v>4167</v>
      </c>
      <c r="AX38" s="38">
        <f t="shared" ref="AX38:AY38" si="41">SUM(AX40:AX51)</f>
        <v>4341</v>
      </c>
      <c r="AY38" s="38">
        <f t="shared" si="41"/>
        <v>4545</v>
      </c>
      <c r="AZ38" s="38">
        <f t="shared" ref="AZ38:BE38" si="42">SUM(AZ40:AZ51)</f>
        <v>4663</v>
      </c>
      <c r="BA38" s="38">
        <f t="shared" si="42"/>
        <v>4699</v>
      </c>
      <c r="BB38" s="38">
        <f t="shared" si="42"/>
        <v>4709</v>
      </c>
      <c r="BC38" s="38">
        <f t="shared" si="42"/>
        <v>4858</v>
      </c>
      <c r="BD38" s="38">
        <f t="shared" si="42"/>
        <v>5040</v>
      </c>
      <c r="BE38" s="38">
        <f t="shared" si="42"/>
        <v>5212</v>
      </c>
    </row>
    <row r="39" spans="1:57" ht="12.75" customHeight="1">
      <c r="A39" s="39" t="s">
        <v>213</v>
      </c>
      <c r="B39" s="61">
        <f t="shared" ref="B39:AU39" si="43">(B38/B4)*100</f>
        <v>15.395284327323161</v>
      </c>
      <c r="C39" s="40">
        <f t="shared" si="43"/>
        <v>0</v>
      </c>
      <c r="D39" s="40">
        <f t="shared" si="43"/>
        <v>0</v>
      </c>
      <c r="E39" s="40">
        <f t="shared" si="43"/>
        <v>16.666666666666664</v>
      </c>
      <c r="F39" s="40">
        <f t="shared" si="43"/>
        <v>18.407960199004975</v>
      </c>
      <c r="G39" s="40">
        <f t="shared" si="43"/>
        <v>17.47126436781609</v>
      </c>
      <c r="H39" s="40">
        <f t="shared" si="43"/>
        <v>19.088016967126194</v>
      </c>
      <c r="I39" s="40">
        <f t="shared" si="43"/>
        <v>17.789473684210527</v>
      </c>
      <c r="J39" s="40">
        <f t="shared" si="43"/>
        <v>16.573033707865168</v>
      </c>
      <c r="K39" s="40">
        <f t="shared" si="43"/>
        <v>18.451400329489292</v>
      </c>
      <c r="L39" s="40">
        <f t="shared" si="43"/>
        <v>15.446500402252614</v>
      </c>
      <c r="M39" s="40">
        <f t="shared" si="43"/>
        <v>17.364447494852435</v>
      </c>
      <c r="N39" s="40">
        <f t="shared" si="43"/>
        <v>16.377649325626205</v>
      </c>
      <c r="O39" s="40">
        <f t="shared" si="43"/>
        <v>16.666666666666664</v>
      </c>
      <c r="P39" s="40">
        <f t="shared" si="43"/>
        <v>16.51270207852194</v>
      </c>
      <c r="Q39" s="40">
        <f t="shared" si="43"/>
        <v>17.628205128205128</v>
      </c>
      <c r="R39" s="40">
        <f t="shared" si="43"/>
        <v>16.879921259842519</v>
      </c>
      <c r="S39" s="40">
        <f t="shared" si="43"/>
        <v>16.587901701323251</v>
      </c>
      <c r="T39" s="40">
        <f t="shared" ref="T39:U39" si="44">(T38/T4)*100</f>
        <v>16.698935140367858</v>
      </c>
      <c r="U39" s="40">
        <f t="shared" si="44"/>
        <v>16.598453842655754</v>
      </c>
      <c r="V39" s="40">
        <f t="shared" ref="V39:W39" si="45">(V38/V4)*100</f>
        <v>14.894497310715762</v>
      </c>
      <c r="W39" s="40">
        <f t="shared" si="45"/>
        <v>14.908524717789023</v>
      </c>
      <c r="X39" s="40">
        <f t="shared" ref="X39:AC39" si="46">(X38/X4)*100</f>
        <v>14.331780723754928</v>
      </c>
      <c r="Y39" s="40">
        <f t="shared" si="46"/>
        <v>15.447687766480813</v>
      </c>
      <c r="Z39" s="40">
        <f t="shared" si="46"/>
        <v>14.408075864178649</v>
      </c>
      <c r="AA39" s="40">
        <f t="shared" si="46"/>
        <v>15.653185917951701</v>
      </c>
      <c r="AB39" s="40">
        <f t="shared" si="46"/>
        <v>15.487465181058496</v>
      </c>
      <c r="AC39" s="40">
        <f t="shared" si="46"/>
        <v>14.574579831932773</v>
      </c>
      <c r="AD39" s="61">
        <f t="shared" si="43"/>
        <v>30.79584775086505</v>
      </c>
      <c r="AE39" s="40">
        <f t="shared" si="43"/>
        <v>0</v>
      </c>
      <c r="AF39" s="40">
        <f t="shared" si="43"/>
        <v>8.8759548926882506</v>
      </c>
      <c r="AG39" s="40">
        <f t="shared" si="43"/>
        <v>29.524603836530446</v>
      </c>
      <c r="AH39" s="40">
        <f t="shared" si="43"/>
        <v>28.999211977935381</v>
      </c>
      <c r="AI39" s="40">
        <f t="shared" si="43"/>
        <v>28.745507144735686</v>
      </c>
      <c r="AJ39" s="40">
        <f t="shared" si="43"/>
        <v>29.810443490701001</v>
      </c>
      <c r="AK39" s="40">
        <f t="shared" si="43"/>
        <v>29.427197201574113</v>
      </c>
      <c r="AL39" s="40">
        <f t="shared" si="43"/>
        <v>28.311461067366579</v>
      </c>
      <c r="AM39" s="40">
        <f t="shared" si="43"/>
        <v>27.930548210823197</v>
      </c>
      <c r="AN39" s="40">
        <f t="shared" si="43"/>
        <v>27.574586182971554</v>
      </c>
      <c r="AO39" s="40">
        <f t="shared" si="43"/>
        <v>27.96318596249785</v>
      </c>
      <c r="AP39" s="40">
        <f t="shared" si="43"/>
        <v>26.252646436132675</v>
      </c>
      <c r="AQ39" s="40">
        <f t="shared" si="43"/>
        <v>26.655975456700599</v>
      </c>
      <c r="AR39" s="40">
        <f t="shared" si="43"/>
        <v>26.064629258517037</v>
      </c>
      <c r="AS39" s="40">
        <f t="shared" si="43"/>
        <v>26.144521595857363</v>
      </c>
      <c r="AT39" s="40">
        <f t="shared" si="43"/>
        <v>26.043726014652869</v>
      </c>
      <c r="AU39" s="40">
        <f t="shared" si="43"/>
        <v>26.540142489373164</v>
      </c>
      <c r="AV39" s="40">
        <f t="shared" ref="AV39:AW39" si="47">(AV38/AV4)*100</f>
        <v>25.703504732668204</v>
      </c>
      <c r="AW39" s="40">
        <f t="shared" si="47"/>
        <v>25.609980947698357</v>
      </c>
      <c r="AX39" s="40">
        <f t="shared" ref="AX39:AY39" si="48">(AX38/AX4)*100</f>
        <v>25.782502821167668</v>
      </c>
      <c r="AY39" s="40">
        <f t="shared" si="48"/>
        <v>25.797479850153255</v>
      </c>
      <c r="AZ39" s="40">
        <f t="shared" ref="AZ39:BE39" si="49">(AZ38/AZ4)*100</f>
        <v>25.500382806518644</v>
      </c>
      <c r="BA39" s="40">
        <f t="shared" si="49"/>
        <v>25.794587473239282</v>
      </c>
      <c r="BB39" s="40">
        <f t="shared" si="49"/>
        <v>25.505064182418892</v>
      </c>
      <c r="BC39" s="40">
        <f t="shared" si="49"/>
        <v>25.770516152989231</v>
      </c>
      <c r="BD39" s="40">
        <f t="shared" si="49"/>
        <v>25.585055078938019</v>
      </c>
      <c r="BE39" s="40">
        <f t="shared" si="49"/>
        <v>25.707803097563382</v>
      </c>
    </row>
    <row r="40" spans="1:57" ht="12.75" customHeight="1">
      <c r="A40" s="37" t="s">
        <v>134</v>
      </c>
      <c r="B40" s="62">
        <v>22</v>
      </c>
      <c r="C40" s="41"/>
      <c r="D40" s="41"/>
      <c r="E40" s="41">
        <v>39</v>
      </c>
      <c r="F40" s="41">
        <v>42</v>
      </c>
      <c r="G40" s="41">
        <v>43</v>
      </c>
      <c r="H40" s="41">
        <v>58</v>
      </c>
      <c r="I40" s="41">
        <v>40</v>
      </c>
      <c r="J40" s="41">
        <v>47</v>
      </c>
      <c r="K40" s="41">
        <v>72</v>
      </c>
      <c r="L40" s="41">
        <v>47</v>
      </c>
      <c r="M40" s="41">
        <v>65</v>
      </c>
      <c r="N40" s="41">
        <v>53</v>
      </c>
      <c r="O40" s="41">
        <v>75</v>
      </c>
      <c r="P40" s="41">
        <v>71</v>
      </c>
      <c r="Q40" s="41">
        <v>97</v>
      </c>
      <c r="R40" s="41">
        <v>70</v>
      </c>
      <c r="S40" s="41">
        <v>76</v>
      </c>
      <c r="T40" s="41">
        <v>89</v>
      </c>
      <c r="U40" s="41">
        <v>93</v>
      </c>
      <c r="V40" s="41">
        <v>89</v>
      </c>
      <c r="W40" s="41">
        <v>96</v>
      </c>
      <c r="X40" s="41">
        <v>109</v>
      </c>
      <c r="Y40" s="41">
        <v>120</v>
      </c>
      <c r="Z40" s="1">
        <v>147</v>
      </c>
      <c r="AA40" s="1">
        <v>152</v>
      </c>
      <c r="AB40" s="1">
        <v>147</v>
      </c>
      <c r="AC40" s="1">
        <v>146</v>
      </c>
      <c r="AD40" s="62">
        <v>398</v>
      </c>
      <c r="AE40" s="41"/>
      <c r="AF40" s="41"/>
      <c r="AG40" s="41">
        <v>738</v>
      </c>
      <c r="AH40" s="41">
        <v>755</v>
      </c>
      <c r="AI40" s="41">
        <v>717</v>
      </c>
      <c r="AJ40" s="41">
        <v>828</v>
      </c>
      <c r="AK40" s="41">
        <v>758</v>
      </c>
      <c r="AL40" s="41">
        <v>704</v>
      </c>
      <c r="AM40" s="41">
        <v>636</v>
      </c>
      <c r="AN40" s="41">
        <v>653</v>
      </c>
      <c r="AO40" s="41">
        <v>728</v>
      </c>
      <c r="AP40" s="41">
        <v>700</v>
      </c>
      <c r="AQ40" s="41">
        <v>853</v>
      </c>
      <c r="AR40" s="41">
        <v>966</v>
      </c>
      <c r="AS40" s="41">
        <v>734</v>
      </c>
      <c r="AT40" s="41">
        <v>980</v>
      </c>
      <c r="AU40" s="41">
        <v>947</v>
      </c>
      <c r="AV40" s="41">
        <v>850</v>
      </c>
      <c r="AW40" s="1">
        <v>892</v>
      </c>
      <c r="AX40" s="1">
        <v>958</v>
      </c>
      <c r="AY40" s="1">
        <v>955</v>
      </c>
      <c r="AZ40" s="1">
        <v>958</v>
      </c>
      <c r="BA40" s="1">
        <v>937</v>
      </c>
      <c r="BB40" s="1">
        <v>900</v>
      </c>
      <c r="BC40" s="1">
        <v>911</v>
      </c>
      <c r="BD40" s="1">
        <v>984</v>
      </c>
      <c r="BE40" s="1">
        <v>1084</v>
      </c>
    </row>
    <row r="41" spans="1:57" ht="12.75" customHeight="1">
      <c r="A41" s="37" t="s">
        <v>135</v>
      </c>
      <c r="B41" s="62">
        <v>12</v>
      </c>
      <c r="C41" s="41"/>
      <c r="D41" s="41"/>
      <c r="E41" s="41">
        <v>17</v>
      </c>
      <c r="F41" s="41">
        <v>14</v>
      </c>
      <c r="G41" s="41">
        <v>17</v>
      </c>
      <c r="H41" s="41">
        <v>13</v>
      </c>
      <c r="I41" s="41">
        <v>14</v>
      </c>
      <c r="J41" s="41">
        <v>19</v>
      </c>
      <c r="K41" s="41">
        <v>20</v>
      </c>
      <c r="L41" s="41">
        <v>18</v>
      </c>
      <c r="M41" s="41">
        <v>25</v>
      </c>
      <c r="N41" s="41">
        <v>28</v>
      </c>
      <c r="O41" s="41">
        <v>27</v>
      </c>
      <c r="P41" s="41">
        <v>32</v>
      </c>
      <c r="Q41" s="41">
        <v>23</v>
      </c>
      <c r="R41" s="41">
        <v>32</v>
      </c>
      <c r="S41" s="41">
        <v>41</v>
      </c>
      <c r="T41" s="41">
        <v>39</v>
      </c>
      <c r="U41" s="41">
        <v>32</v>
      </c>
      <c r="V41" s="41">
        <v>40</v>
      </c>
      <c r="W41" s="41">
        <v>53</v>
      </c>
      <c r="X41" s="41">
        <v>52</v>
      </c>
      <c r="Y41" s="41">
        <v>58</v>
      </c>
      <c r="Z41" s="1">
        <v>38</v>
      </c>
      <c r="AA41" s="1">
        <v>60</v>
      </c>
      <c r="AB41" s="1">
        <v>56</v>
      </c>
      <c r="AC41" s="1">
        <v>65</v>
      </c>
      <c r="AD41" s="62">
        <v>224</v>
      </c>
      <c r="AE41" s="41"/>
      <c r="AF41" s="41"/>
      <c r="AG41" s="41">
        <v>336</v>
      </c>
      <c r="AH41" s="41">
        <v>372</v>
      </c>
      <c r="AI41" s="41">
        <v>336</v>
      </c>
      <c r="AJ41" s="41">
        <v>346</v>
      </c>
      <c r="AK41" s="41">
        <v>335</v>
      </c>
      <c r="AL41" s="41">
        <v>318</v>
      </c>
      <c r="AM41" s="41">
        <v>325</v>
      </c>
      <c r="AN41" s="41">
        <v>378</v>
      </c>
      <c r="AO41" s="41">
        <v>374</v>
      </c>
      <c r="AP41" s="41">
        <v>406</v>
      </c>
      <c r="AQ41" s="41">
        <v>472</v>
      </c>
      <c r="AR41" s="41">
        <v>530</v>
      </c>
      <c r="AS41" s="41">
        <v>575</v>
      </c>
      <c r="AT41" s="41">
        <v>564</v>
      </c>
      <c r="AU41" s="41">
        <v>611</v>
      </c>
      <c r="AV41" s="41">
        <v>543</v>
      </c>
      <c r="AW41" s="1">
        <v>528</v>
      </c>
      <c r="AX41" s="1">
        <v>547</v>
      </c>
      <c r="AY41" s="1">
        <v>577</v>
      </c>
      <c r="AZ41" s="1">
        <v>616</v>
      </c>
      <c r="BA41" s="1">
        <v>642</v>
      </c>
      <c r="BB41" s="1">
        <v>614</v>
      </c>
      <c r="BC41" s="1">
        <v>682</v>
      </c>
      <c r="BD41" s="1">
        <v>697</v>
      </c>
      <c r="BE41" s="1">
        <v>700</v>
      </c>
    </row>
    <row r="42" spans="1:57" ht="12.75" customHeight="1">
      <c r="A42" s="37" t="s">
        <v>132</v>
      </c>
      <c r="B42" s="62">
        <v>7</v>
      </c>
      <c r="C42" s="41"/>
      <c r="D42" s="41"/>
      <c r="E42" s="41">
        <v>3</v>
      </c>
      <c r="F42" s="41">
        <v>7</v>
      </c>
      <c r="G42" s="41">
        <v>8</v>
      </c>
      <c r="H42" s="41">
        <v>7</v>
      </c>
      <c r="I42" s="41">
        <v>9</v>
      </c>
      <c r="J42" s="41">
        <v>17</v>
      </c>
      <c r="K42" s="41">
        <v>5</v>
      </c>
      <c r="L42" s="41">
        <v>8</v>
      </c>
      <c r="M42" s="41">
        <v>14</v>
      </c>
      <c r="N42" s="41">
        <v>10</v>
      </c>
      <c r="O42" s="41">
        <v>10</v>
      </c>
      <c r="P42" s="41">
        <v>19</v>
      </c>
      <c r="Q42" s="41">
        <v>17</v>
      </c>
      <c r="R42" s="41">
        <v>15</v>
      </c>
      <c r="S42" s="41">
        <v>15</v>
      </c>
      <c r="T42" s="41">
        <v>14</v>
      </c>
      <c r="U42" s="41">
        <v>23</v>
      </c>
      <c r="V42" s="41">
        <v>11</v>
      </c>
      <c r="W42" s="41">
        <v>23</v>
      </c>
      <c r="X42" s="41">
        <v>24</v>
      </c>
      <c r="Y42" s="41">
        <v>27</v>
      </c>
      <c r="Z42" s="1">
        <v>25</v>
      </c>
      <c r="AA42" s="1">
        <v>24</v>
      </c>
      <c r="AB42" s="1">
        <v>33</v>
      </c>
      <c r="AC42" s="1">
        <v>37</v>
      </c>
      <c r="AD42" s="62">
        <v>181</v>
      </c>
      <c r="AE42" s="41"/>
      <c r="AF42" s="41"/>
      <c r="AG42" s="41">
        <v>267</v>
      </c>
      <c r="AH42" s="41">
        <v>275</v>
      </c>
      <c r="AI42" s="41">
        <v>237</v>
      </c>
      <c r="AJ42" s="41">
        <v>243</v>
      </c>
      <c r="AK42" s="41">
        <v>241</v>
      </c>
      <c r="AL42" s="41">
        <v>223</v>
      </c>
      <c r="AM42" s="41">
        <v>244</v>
      </c>
      <c r="AN42" s="41">
        <v>199</v>
      </c>
      <c r="AO42" s="41">
        <v>196</v>
      </c>
      <c r="AP42" s="41">
        <v>257</v>
      </c>
      <c r="AQ42" s="41">
        <v>250</v>
      </c>
      <c r="AR42" s="41">
        <v>273</v>
      </c>
      <c r="AS42" s="41">
        <v>322</v>
      </c>
      <c r="AT42" s="41">
        <v>302</v>
      </c>
      <c r="AU42" s="41">
        <v>285</v>
      </c>
      <c r="AV42" s="41">
        <v>255</v>
      </c>
      <c r="AW42" s="1">
        <v>293</v>
      </c>
      <c r="AX42" s="1">
        <v>303</v>
      </c>
      <c r="AY42" s="1">
        <v>298</v>
      </c>
      <c r="AZ42" s="1">
        <v>296</v>
      </c>
      <c r="BA42" s="1">
        <v>250</v>
      </c>
      <c r="BB42" s="1">
        <v>290</v>
      </c>
      <c r="BC42" s="1">
        <v>292</v>
      </c>
      <c r="BD42" s="1">
        <v>294</v>
      </c>
      <c r="BE42" s="1">
        <v>315</v>
      </c>
    </row>
    <row r="43" spans="1:57" ht="12.75" customHeight="1">
      <c r="A43" s="37" t="s">
        <v>136</v>
      </c>
      <c r="B43" s="62">
        <v>2</v>
      </c>
      <c r="C43" s="41"/>
      <c r="D43" s="41"/>
      <c r="E43" s="41">
        <v>2</v>
      </c>
      <c r="F43" s="41">
        <v>3</v>
      </c>
      <c r="G43" s="41">
        <v>3</v>
      </c>
      <c r="H43" s="41">
        <v>7</v>
      </c>
      <c r="I43" s="41">
        <v>5</v>
      </c>
      <c r="J43" s="41">
        <v>5</v>
      </c>
      <c r="K43" s="41">
        <v>8</v>
      </c>
      <c r="L43" s="41">
        <v>6</v>
      </c>
      <c r="M43" s="41">
        <v>8</v>
      </c>
      <c r="N43" s="41">
        <v>18</v>
      </c>
      <c r="O43" s="41">
        <v>12</v>
      </c>
      <c r="P43" s="41">
        <v>14</v>
      </c>
      <c r="Q43" s="41">
        <v>7</v>
      </c>
      <c r="R43" s="41">
        <v>12</v>
      </c>
      <c r="S43" s="41">
        <v>12</v>
      </c>
      <c r="T43" s="41">
        <v>9</v>
      </c>
      <c r="U43" s="41">
        <v>12</v>
      </c>
      <c r="V43" s="41">
        <v>11</v>
      </c>
      <c r="W43" s="41">
        <v>26</v>
      </c>
      <c r="X43" s="41">
        <v>6</v>
      </c>
      <c r="Y43" s="41">
        <v>27</v>
      </c>
      <c r="Z43" s="1">
        <v>16</v>
      </c>
      <c r="AA43" s="1">
        <v>19</v>
      </c>
      <c r="AB43" s="1">
        <v>17</v>
      </c>
      <c r="AC43" s="1">
        <v>14</v>
      </c>
      <c r="AD43" s="62">
        <v>111</v>
      </c>
      <c r="AE43" s="41"/>
      <c r="AF43" s="41"/>
      <c r="AG43" s="41">
        <v>147</v>
      </c>
      <c r="AH43" s="41">
        <v>125</v>
      </c>
      <c r="AI43" s="41">
        <v>144</v>
      </c>
      <c r="AJ43" s="41">
        <v>124</v>
      </c>
      <c r="AK43" s="41">
        <v>154</v>
      </c>
      <c r="AL43" s="41">
        <v>155</v>
      </c>
      <c r="AM43" s="41">
        <v>139</v>
      </c>
      <c r="AN43" s="41">
        <v>120</v>
      </c>
      <c r="AO43" s="41">
        <v>131</v>
      </c>
      <c r="AP43" s="41">
        <v>135</v>
      </c>
      <c r="AQ43" s="41">
        <v>134</v>
      </c>
      <c r="AR43" s="41">
        <v>138</v>
      </c>
      <c r="AS43" s="41">
        <v>139</v>
      </c>
      <c r="AT43" s="41">
        <v>147</v>
      </c>
      <c r="AU43" s="41">
        <v>150</v>
      </c>
      <c r="AV43" s="41">
        <v>157</v>
      </c>
      <c r="AW43" s="1">
        <v>169</v>
      </c>
      <c r="AX43" s="1">
        <v>155</v>
      </c>
      <c r="AY43" s="1">
        <v>195</v>
      </c>
      <c r="AZ43" s="1">
        <v>194</v>
      </c>
      <c r="BA43" s="1">
        <v>195</v>
      </c>
      <c r="BB43" s="1">
        <v>194</v>
      </c>
      <c r="BC43" s="1">
        <v>200</v>
      </c>
      <c r="BD43" s="1">
        <v>235</v>
      </c>
      <c r="BE43" s="1">
        <v>229</v>
      </c>
    </row>
    <row r="44" spans="1:57" ht="12.75" customHeight="1">
      <c r="A44" s="37" t="s">
        <v>139</v>
      </c>
      <c r="B44" s="62">
        <v>24</v>
      </c>
      <c r="C44" s="41"/>
      <c r="D44" s="41"/>
      <c r="E44" s="41">
        <v>25</v>
      </c>
      <c r="F44" s="41">
        <v>30</v>
      </c>
      <c r="G44" s="41">
        <v>19</v>
      </c>
      <c r="H44" s="41">
        <v>32</v>
      </c>
      <c r="I44" s="41">
        <v>31</v>
      </c>
      <c r="J44" s="41">
        <v>25</v>
      </c>
      <c r="K44" s="41">
        <v>37</v>
      </c>
      <c r="L44" s="41">
        <v>36</v>
      </c>
      <c r="M44" s="41">
        <v>49</v>
      </c>
      <c r="N44" s="41">
        <v>37</v>
      </c>
      <c r="O44" s="41">
        <v>55</v>
      </c>
      <c r="P44" s="41">
        <v>42</v>
      </c>
      <c r="Q44" s="41">
        <v>63</v>
      </c>
      <c r="R44" s="41">
        <v>55</v>
      </c>
      <c r="S44" s="41">
        <v>50</v>
      </c>
      <c r="T44" s="41">
        <v>47</v>
      </c>
      <c r="U44" s="41">
        <v>70</v>
      </c>
      <c r="V44" s="41">
        <v>89</v>
      </c>
      <c r="W44" s="41">
        <v>60</v>
      </c>
      <c r="X44" s="41">
        <v>73</v>
      </c>
      <c r="Y44" s="41">
        <v>80</v>
      </c>
      <c r="Z44" s="1">
        <v>84</v>
      </c>
      <c r="AA44" s="1">
        <v>85</v>
      </c>
      <c r="AB44" s="1">
        <v>98</v>
      </c>
      <c r="AC44" s="1">
        <v>83</v>
      </c>
      <c r="AD44" s="62">
        <v>307</v>
      </c>
      <c r="AE44" s="41"/>
      <c r="AF44" s="41"/>
      <c r="AG44" s="41">
        <v>510</v>
      </c>
      <c r="AH44" s="41">
        <v>516</v>
      </c>
      <c r="AI44" s="41">
        <v>511</v>
      </c>
      <c r="AJ44" s="41">
        <v>474</v>
      </c>
      <c r="AK44" s="41">
        <v>485</v>
      </c>
      <c r="AL44" s="41">
        <v>454</v>
      </c>
      <c r="AM44" s="41">
        <v>433</v>
      </c>
      <c r="AN44" s="41">
        <v>366</v>
      </c>
      <c r="AO44" s="41">
        <v>455</v>
      </c>
      <c r="AP44" s="41">
        <v>446</v>
      </c>
      <c r="AQ44" s="41">
        <v>489</v>
      </c>
      <c r="AR44" s="41">
        <v>552</v>
      </c>
      <c r="AS44" s="41">
        <v>672</v>
      </c>
      <c r="AT44" s="41">
        <v>563</v>
      </c>
      <c r="AU44" s="41">
        <v>642</v>
      </c>
      <c r="AV44" s="41">
        <v>583</v>
      </c>
      <c r="AW44" s="1">
        <v>617</v>
      </c>
      <c r="AX44" s="1">
        <v>664</v>
      </c>
      <c r="AY44" s="1">
        <v>702</v>
      </c>
      <c r="AZ44" s="1">
        <v>693</v>
      </c>
      <c r="BA44" s="1">
        <v>706</v>
      </c>
      <c r="BB44" s="1">
        <v>655</v>
      </c>
      <c r="BC44" s="1">
        <v>718</v>
      </c>
      <c r="BD44" s="1">
        <v>739</v>
      </c>
      <c r="BE44" s="1">
        <v>749</v>
      </c>
    </row>
    <row r="45" spans="1:57" ht="12.75" customHeight="1">
      <c r="A45" s="37" t="s">
        <v>140</v>
      </c>
      <c r="B45" s="62">
        <v>3</v>
      </c>
      <c r="C45" s="41"/>
      <c r="D45" s="41"/>
      <c r="E45" s="41">
        <v>9</v>
      </c>
      <c r="F45" s="41">
        <v>4</v>
      </c>
      <c r="G45" s="41">
        <v>9</v>
      </c>
      <c r="H45" s="41">
        <v>20</v>
      </c>
      <c r="I45" s="41">
        <v>10</v>
      </c>
      <c r="J45" s="41">
        <v>8</v>
      </c>
      <c r="K45" s="41">
        <v>10</v>
      </c>
      <c r="L45" s="41">
        <v>17</v>
      </c>
      <c r="M45" s="41">
        <v>28</v>
      </c>
      <c r="N45" s="41">
        <v>22</v>
      </c>
      <c r="O45" s="41">
        <v>23</v>
      </c>
      <c r="P45" s="41">
        <v>25</v>
      </c>
      <c r="Q45" s="41">
        <v>36</v>
      </c>
      <c r="R45" s="41">
        <v>52</v>
      </c>
      <c r="S45" s="41">
        <v>51</v>
      </c>
      <c r="T45" s="41">
        <v>47</v>
      </c>
      <c r="U45" s="41">
        <v>47</v>
      </c>
      <c r="V45" s="41">
        <v>17</v>
      </c>
      <c r="W45" s="41">
        <v>19</v>
      </c>
      <c r="X45" s="41">
        <v>22</v>
      </c>
      <c r="Y45" s="41">
        <v>22</v>
      </c>
      <c r="Z45" s="1">
        <v>33</v>
      </c>
      <c r="AA45" s="1">
        <v>26</v>
      </c>
      <c r="AB45" s="1">
        <v>23</v>
      </c>
      <c r="AC45" s="1">
        <v>29</v>
      </c>
      <c r="AD45" s="62">
        <v>104</v>
      </c>
      <c r="AE45" s="41"/>
      <c r="AF45" s="41"/>
      <c r="AG45" s="41">
        <v>232</v>
      </c>
      <c r="AH45" s="41">
        <v>212</v>
      </c>
      <c r="AI45" s="41">
        <v>219</v>
      </c>
      <c r="AJ45" s="41">
        <v>193</v>
      </c>
      <c r="AK45" s="41">
        <v>185</v>
      </c>
      <c r="AL45" s="41">
        <v>203</v>
      </c>
      <c r="AM45" s="41">
        <v>212</v>
      </c>
      <c r="AN45" s="41">
        <v>202</v>
      </c>
      <c r="AO45" s="41">
        <v>185</v>
      </c>
      <c r="AP45" s="41">
        <v>205</v>
      </c>
      <c r="AQ45" s="41">
        <v>248</v>
      </c>
      <c r="AR45" s="41">
        <v>289</v>
      </c>
      <c r="AS45" s="41">
        <v>359</v>
      </c>
      <c r="AT45" s="41">
        <v>290</v>
      </c>
      <c r="AU45" s="41">
        <v>281</v>
      </c>
      <c r="AV45" s="41">
        <v>268</v>
      </c>
      <c r="AW45" s="1">
        <v>268</v>
      </c>
      <c r="AX45" s="1">
        <v>264</v>
      </c>
      <c r="AY45" s="1">
        <v>317</v>
      </c>
      <c r="AZ45" s="1">
        <v>257</v>
      </c>
      <c r="BA45" s="1">
        <v>237</v>
      </c>
      <c r="BB45" s="1">
        <v>274</v>
      </c>
      <c r="BC45" s="1">
        <v>251</v>
      </c>
      <c r="BD45" s="1">
        <v>285</v>
      </c>
      <c r="BE45" s="1">
        <v>303</v>
      </c>
    </row>
    <row r="46" spans="1:57" ht="12.75" customHeight="1">
      <c r="A46" s="37" t="s">
        <v>141</v>
      </c>
      <c r="B46" s="62">
        <v>4</v>
      </c>
      <c r="C46" s="41"/>
      <c r="D46" s="41"/>
      <c r="E46" s="41">
        <v>4</v>
      </c>
      <c r="F46" s="41">
        <v>7</v>
      </c>
      <c r="G46" s="41">
        <v>14</v>
      </c>
      <c r="H46" s="41">
        <v>3</v>
      </c>
      <c r="I46" s="41">
        <v>7</v>
      </c>
      <c r="J46" s="41">
        <v>8</v>
      </c>
      <c r="K46" s="41">
        <v>12</v>
      </c>
      <c r="L46" s="41">
        <v>9</v>
      </c>
      <c r="M46" s="41">
        <v>17</v>
      </c>
      <c r="N46" s="41">
        <v>31</v>
      </c>
      <c r="O46" s="41">
        <v>20</v>
      </c>
      <c r="P46" s="41">
        <v>24</v>
      </c>
      <c r="Q46" s="41">
        <v>26</v>
      </c>
      <c r="R46" s="41">
        <v>45</v>
      </c>
      <c r="S46" s="41">
        <v>39</v>
      </c>
      <c r="T46" s="41">
        <v>21</v>
      </c>
      <c r="U46" s="41">
        <v>23</v>
      </c>
      <c r="V46" s="41">
        <v>27</v>
      </c>
      <c r="W46" s="41">
        <v>26</v>
      </c>
      <c r="X46" s="41">
        <v>29</v>
      </c>
      <c r="Y46" s="41">
        <v>31</v>
      </c>
      <c r="Z46" s="1">
        <v>32</v>
      </c>
      <c r="AA46" s="1">
        <v>31</v>
      </c>
      <c r="AB46" s="1">
        <v>60</v>
      </c>
      <c r="AC46" s="1">
        <v>48</v>
      </c>
      <c r="AD46" s="62">
        <v>104</v>
      </c>
      <c r="AE46" s="41"/>
      <c r="AF46" s="41"/>
      <c r="AG46" s="41">
        <v>174</v>
      </c>
      <c r="AH46" s="41">
        <v>152</v>
      </c>
      <c r="AI46" s="41">
        <v>187</v>
      </c>
      <c r="AJ46" s="41">
        <v>190</v>
      </c>
      <c r="AK46" s="41">
        <v>209</v>
      </c>
      <c r="AL46" s="41">
        <v>187</v>
      </c>
      <c r="AM46" s="41">
        <v>206</v>
      </c>
      <c r="AN46" s="41">
        <v>185</v>
      </c>
      <c r="AO46" s="41">
        <v>213</v>
      </c>
      <c r="AP46" s="41">
        <v>226</v>
      </c>
      <c r="AQ46" s="41">
        <v>275</v>
      </c>
      <c r="AR46" s="41">
        <v>281</v>
      </c>
      <c r="AS46" s="41">
        <v>313</v>
      </c>
      <c r="AT46" s="41">
        <v>311</v>
      </c>
      <c r="AU46" s="41">
        <v>311</v>
      </c>
      <c r="AV46" s="41">
        <v>252</v>
      </c>
      <c r="AW46" s="1">
        <v>265</v>
      </c>
      <c r="AX46" s="1">
        <v>273</v>
      </c>
      <c r="AY46" s="1">
        <v>314</v>
      </c>
      <c r="AZ46" s="1">
        <v>317</v>
      </c>
      <c r="BA46" s="1">
        <v>339</v>
      </c>
      <c r="BB46" s="1">
        <v>353</v>
      </c>
      <c r="BC46" s="1">
        <v>352</v>
      </c>
      <c r="BD46" s="1">
        <v>410</v>
      </c>
      <c r="BE46" s="1">
        <v>413</v>
      </c>
    </row>
    <row r="47" spans="1:57" ht="12.75" customHeight="1">
      <c r="A47" s="37" t="s">
        <v>144</v>
      </c>
      <c r="B47" s="62">
        <v>3</v>
      </c>
      <c r="C47" s="41"/>
      <c r="D47" s="41"/>
      <c r="E47" s="41">
        <v>1</v>
      </c>
      <c r="F47" s="41">
        <v>1</v>
      </c>
      <c r="G47" s="41">
        <v>3</v>
      </c>
      <c r="H47" s="41">
        <v>1</v>
      </c>
      <c r="I47" s="41">
        <v>4</v>
      </c>
      <c r="J47" s="41">
        <v>5</v>
      </c>
      <c r="K47" s="41">
        <v>7</v>
      </c>
      <c r="L47" s="41">
        <v>4</v>
      </c>
      <c r="M47" s="41">
        <v>9</v>
      </c>
      <c r="N47" s="41">
        <v>8</v>
      </c>
      <c r="O47" s="41">
        <v>12</v>
      </c>
      <c r="P47" s="41">
        <v>8</v>
      </c>
      <c r="Q47" s="41">
        <v>5</v>
      </c>
      <c r="R47" s="41">
        <v>8</v>
      </c>
      <c r="S47" s="41">
        <v>6</v>
      </c>
      <c r="T47" s="41">
        <v>6</v>
      </c>
      <c r="U47" s="41">
        <v>9</v>
      </c>
      <c r="V47" s="41">
        <v>6</v>
      </c>
      <c r="W47" s="41">
        <v>14</v>
      </c>
      <c r="X47" s="41">
        <v>13</v>
      </c>
      <c r="Y47" s="41">
        <v>16</v>
      </c>
      <c r="Z47" s="1">
        <v>8</v>
      </c>
      <c r="AA47" s="1">
        <v>17</v>
      </c>
      <c r="AB47" s="1">
        <v>16</v>
      </c>
      <c r="AC47" s="1">
        <v>11</v>
      </c>
      <c r="AD47" s="62">
        <v>3</v>
      </c>
      <c r="AE47" s="41"/>
      <c r="AF47" s="41"/>
      <c r="AG47" s="41">
        <v>65</v>
      </c>
      <c r="AH47" s="41">
        <v>64</v>
      </c>
      <c r="AI47" s="41">
        <v>68</v>
      </c>
      <c r="AJ47" s="41">
        <v>61</v>
      </c>
      <c r="AK47" s="41">
        <v>73</v>
      </c>
      <c r="AL47" s="41">
        <v>82</v>
      </c>
      <c r="AM47" s="41">
        <v>86</v>
      </c>
      <c r="AN47" s="41">
        <v>76</v>
      </c>
      <c r="AO47" s="41">
        <v>90</v>
      </c>
      <c r="AP47" s="41">
        <v>100</v>
      </c>
      <c r="AQ47" s="41">
        <v>98</v>
      </c>
      <c r="AR47" s="41">
        <v>90</v>
      </c>
      <c r="AS47" s="41">
        <v>119</v>
      </c>
      <c r="AT47" s="41">
        <v>84</v>
      </c>
      <c r="AU47" s="41">
        <v>71</v>
      </c>
      <c r="AV47" s="41">
        <v>57</v>
      </c>
      <c r="AW47" s="1">
        <v>75</v>
      </c>
      <c r="AX47" s="1">
        <v>105</v>
      </c>
      <c r="AY47" s="1">
        <v>138</v>
      </c>
      <c r="AZ47" s="1">
        <v>125</v>
      </c>
      <c r="BA47" s="1">
        <v>153</v>
      </c>
      <c r="BB47" s="1">
        <v>148</v>
      </c>
      <c r="BC47" s="1">
        <v>172</v>
      </c>
      <c r="BD47" s="1">
        <v>131</v>
      </c>
      <c r="BE47" s="1">
        <v>153</v>
      </c>
    </row>
    <row r="48" spans="1:57" ht="12.75" customHeight="1">
      <c r="A48" s="37" t="s">
        <v>143</v>
      </c>
      <c r="B48" s="62">
        <v>0</v>
      </c>
      <c r="C48" s="41"/>
      <c r="D48" s="41"/>
      <c r="E48" s="41">
        <v>0</v>
      </c>
      <c r="F48" s="41">
        <v>0</v>
      </c>
      <c r="G48" s="41">
        <v>2</v>
      </c>
      <c r="H48" s="41">
        <v>2</v>
      </c>
      <c r="I48" s="41">
        <v>1</v>
      </c>
      <c r="J48" s="41">
        <v>0</v>
      </c>
      <c r="K48" s="41">
        <v>0</v>
      </c>
      <c r="L48" s="41">
        <v>0</v>
      </c>
      <c r="M48" s="41">
        <v>1</v>
      </c>
      <c r="N48" s="41">
        <v>1</v>
      </c>
      <c r="O48" s="41">
        <v>0</v>
      </c>
      <c r="P48" s="41">
        <v>1</v>
      </c>
      <c r="Q48" s="41">
        <v>0</v>
      </c>
      <c r="R48" s="41">
        <v>2</v>
      </c>
      <c r="S48" s="41">
        <v>3</v>
      </c>
      <c r="T48" s="41">
        <v>1</v>
      </c>
      <c r="U48" s="41">
        <v>0</v>
      </c>
      <c r="V48" s="41">
        <v>1</v>
      </c>
      <c r="W48" s="41">
        <v>0</v>
      </c>
      <c r="X48" s="41">
        <v>2</v>
      </c>
      <c r="Y48" s="41">
        <v>4</v>
      </c>
      <c r="Z48" s="1">
        <v>1</v>
      </c>
      <c r="AA48" s="1">
        <v>6</v>
      </c>
      <c r="AB48" s="1">
        <v>2</v>
      </c>
      <c r="AC48" s="1">
        <v>1</v>
      </c>
      <c r="AD48" s="62">
        <v>8</v>
      </c>
      <c r="AE48" s="41"/>
      <c r="AF48" s="41"/>
      <c r="AG48" s="41">
        <v>17</v>
      </c>
      <c r="AH48" s="41">
        <v>17</v>
      </c>
      <c r="AI48" s="41">
        <v>13</v>
      </c>
      <c r="AJ48" s="41">
        <v>13</v>
      </c>
      <c r="AK48" s="41">
        <v>11</v>
      </c>
      <c r="AL48" s="41">
        <v>22</v>
      </c>
      <c r="AM48" s="41">
        <v>25</v>
      </c>
      <c r="AN48" s="41">
        <v>9</v>
      </c>
      <c r="AO48" s="41">
        <v>28</v>
      </c>
      <c r="AP48" s="41">
        <v>19</v>
      </c>
      <c r="AQ48" s="41">
        <v>19</v>
      </c>
      <c r="AR48" s="41">
        <v>21</v>
      </c>
      <c r="AS48" s="41">
        <v>41</v>
      </c>
      <c r="AT48" s="41">
        <v>49</v>
      </c>
      <c r="AU48" s="41">
        <v>38</v>
      </c>
      <c r="AV48" s="41">
        <v>40</v>
      </c>
      <c r="AW48" s="1">
        <v>42</v>
      </c>
      <c r="AX48" s="1">
        <v>52</v>
      </c>
      <c r="AY48" s="1">
        <v>51</v>
      </c>
      <c r="AZ48" s="1">
        <v>60</v>
      </c>
      <c r="BA48" s="1">
        <v>83</v>
      </c>
      <c r="BB48" s="1">
        <v>74</v>
      </c>
      <c r="BC48" s="1">
        <v>74</v>
      </c>
      <c r="BD48" s="1">
        <v>75</v>
      </c>
      <c r="BE48" s="1">
        <v>63</v>
      </c>
    </row>
    <row r="49" spans="1:57" ht="12.75" customHeight="1">
      <c r="A49" s="37" t="s">
        <v>150</v>
      </c>
      <c r="B49" s="62">
        <v>24</v>
      </c>
      <c r="C49" s="41"/>
      <c r="D49" s="41"/>
      <c r="E49" s="41">
        <v>17</v>
      </c>
      <c r="F49" s="41">
        <v>27</v>
      </c>
      <c r="G49" s="41">
        <v>24</v>
      </c>
      <c r="H49" s="41">
        <v>23</v>
      </c>
      <c r="I49" s="41">
        <v>20</v>
      </c>
      <c r="J49" s="41">
        <v>30</v>
      </c>
      <c r="K49" s="41">
        <v>32</v>
      </c>
      <c r="L49" s="41">
        <v>26</v>
      </c>
      <c r="M49" s="41">
        <v>25</v>
      </c>
      <c r="N49" s="41">
        <v>25</v>
      </c>
      <c r="O49" s="41">
        <v>26</v>
      </c>
      <c r="P49" s="41">
        <v>29</v>
      </c>
      <c r="Q49" s="41">
        <v>27</v>
      </c>
      <c r="R49" s="41">
        <v>29</v>
      </c>
      <c r="S49" s="41">
        <v>37</v>
      </c>
      <c r="T49" s="41">
        <v>37</v>
      </c>
      <c r="U49" s="41">
        <v>31</v>
      </c>
      <c r="V49" s="41">
        <v>35</v>
      </c>
      <c r="W49" s="41">
        <v>39</v>
      </c>
      <c r="X49" s="41">
        <v>40</v>
      </c>
      <c r="Y49" s="41">
        <v>47</v>
      </c>
      <c r="Z49" s="1">
        <v>44</v>
      </c>
      <c r="AA49" s="1">
        <v>50</v>
      </c>
      <c r="AB49" s="1">
        <v>46</v>
      </c>
      <c r="AC49" s="1">
        <v>66</v>
      </c>
      <c r="AD49" s="62">
        <v>324</v>
      </c>
      <c r="AE49" s="41"/>
      <c r="AF49" s="41"/>
      <c r="AG49" s="41">
        <v>415</v>
      </c>
      <c r="AH49" s="41">
        <v>523</v>
      </c>
      <c r="AI49" s="41">
        <v>586</v>
      </c>
      <c r="AJ49" s="41">
        <v>601</v>
      </c>
      <c r="AK49" s="41">
        <v>619</v>
      </c>
      <c r="AL49" s="41">
        <v>611</v>
      </c>
      <c r="AM49" s="41">
        <v>619</v>
      </c>
      <c r="AN49" s="41">
        <v>594</v>
      </c>
      <c r="AO49" s="41">
        <v>583</v>
      </c>
      <c r="AP49" s="41">
        <v>607</v>
      </c>
      <c r="AQ49" s="41">
        <v>688</v>
      </c>
      <c r="AR49" s="41">
        <v>733</v>
      </c>
      <c r="AS49" s="41">
        <v>807</v>
      </c>
      <c r="AT49" s="41">
        <v>839</v>
      </c>
      <c r="AU49" s="41">
        <v>753</v>
      </c>
      <c r="AV49" s="41">
        <v>722</v>
      </c>
      <c r="AW49" s="1">
        <v>711</v>
      </c>
      <c r="AX49" s="1">
        <v>680</v>
      </c>
      <c r="AY49" s="1">
        <v>674</v>
      </c>
      <c r="AZ49" s="1">
        <v>767</v>
      </c>
      <c r="BA49" s="1">
        <v>742</v>
      </c>
      <c r="BB49" s="1">
        <v>807</v>
      </c>
      <c r="BC49" s="1">
        <v>790</v>
      </c>
      <c r="BD49" s="1">
        <v>814</v>
      </c>
      <c r="BE49" s="1">
        <v>788</v>
      </c>
    </row>
    <row r="50" spans="1:57" ht="12.75" customHeight="1">
      <c r="A50" s="37" t="s">
        <v>154</v>
      </c>
      <c r="B50" s="62">
        <v>0</v>
      </c>
      <c r="C50" s="41"/>
      <c r="D50" s="41"/>
      <c r="E50" s="41">
        <v>1</v>
      </c>
      <c r="F50" s="41">
        <v>0</v>
      </c>
      <c r="G50" s="41">
        <v>1</v>
      </c>
      <c r="H50" s="41">
        <v>0</v>
      </c>
      <c r="I50" s="41">
        <v>0</v>
      </c>
      <c r="J50" s="41">
        <v>0</v>
      </c>
      <c r="K50" s="41">
        <v>1</v>
      </c>
      <c r="L50" s="41">
        <v>0</v>
      </c>
      <c r="M50" s="41">
        <v>0</v>
      </c>
      <c r="N50" s="41">
        <v>1</v>
      </c>
      <c r="O50" s="41">
        <v>1</v>
      </c>
      <c r="P50" s="41">
        <v>1</v>
      </c>
      <c r="Q50" s="41">
        <v>0</v>
      </c>
      <c r="R50" s="41">
        <v>0</v>
      </c>
      <c r="S50" s="41">
        <v>1</v>
      </c>
      <c r="T50" s="41">
        <v>1</v>
      </c>
      <c r="U50" s="41">
        <v>0</v>
      </c>
      <c r="V50" s="41">
        <v>4</v>
      </c>
      <c r="W50" s="41">
        <v>2</v>
      </c>
      <c r="X50" s="41">
        <v>2</v>
      </c>
      <c r="Y50" s="41">
        <v>2</v>
      </c>
      <c r="Z50" s="1">
        <v>1</v>
      </c>
      <c r="AA50" s="1">
        <v>0</v>
      </c>
      <c r="AB50" s="1">
        <v>6</v>
      </c>
      <c r="AC50" s="1">
        <v>6</v>
      </c>
      <c r="AD50" s="62">
        <v>7</v>
      </c>
      <c r="AE50" s="41"/>
      <c r="AF50" s="41">
        <v>8</v>
      </c>
      <c r="AG50" s="41">
        <v>9</v>
      </c>
      <c r="AH50" s="41">
        <v>7</v>
      </c>
      <c r="AI50" s="41">
        <v>6</v>
      </c>
      <c r="AJ50" s="41">
        <v>17</v>
      </c>
      <c r="AK50" s="41">
        <v>13</v>
      </c>
      <c r="AL50" s="41">
        <v>14</v>
      </c>
      <c r="AM50" s="41">
        <v>4</v>
      </c>
      <c r="AN50" s="41"/>
      <c r="AO50" s="41">
        <v>25</v>
      </c>
      <c r="AP50" s="41">
        <v>15</v>
      </c>
      <c r="AQ50" s="41">
        <v>23</v>
      </c>
      <c r="AR50" s="41">
        <v>13</v>
      </c>
      <c r="AS50" s="41">
        <v>15</v>
      </c>
      <c r="AT50" s="41">
        <v>15</v>
      </c>
      <c r="AU50" s="41">
        <v>20</v>
      </c>
      <c r="AV50" s="41">
        <v>20</v>
      </c>
      <c r="AW50" s="1">
        <v>23</v>
      </c>
      <c r="AX50" s="1">
        <v>30</v>
      </c>
      <c r="AY50" s="1">
        <v>33</v>
      </c>
      <c r="AZ50" s="1">
        <v>47</v>
      </c>
      <c r="BA50" s="1">
        <v>56</v>
      </c>
      <c r="BB50" s="1">
        <v>47</v>
      </c>
      <c r="BC50" s="1">
        <v>46</v>
      </c>
      <c r="BD50" s="1">
        <v>41</v>
      </c>
      <c r="BE50" s="1">
        <v>41</v>
      </c>
    </row>
    <row r="51" spans="1:57" ht="12.75" customHeight="1">
      <c r="A51" s="42" t="s">
        <v>157</v>
      </c>
      <c r="B51" s="63">
        <v>10</v>
      </c>
      <c r="C51" s="43"/>
      <c r="D51" s="43"/>
      <c r="E51" s="43">
        <v>15</v>
      </c>
      <c r="F51" s="43">
        <v>13</v>
      </c>
      <c r="G51" s="43">
        <v>9</v>
      </c>
      <c r="H51" s="43">
        <v>14</v>
      </c>
      <c r="I51" s="43">
        <v>28</v>
      </c>
      <c r="J51" s="43">
        <v>13</v>
      </c>
      <c r="K51" s="43">
        <v>20</v>
      </c>
      <c r="L51" s="43">
        <v>21</v>
      </c>
      <c r="M51" s="43">
        <v>12</v>
      </c>
      <c r="N51" s="43">
        <v>21</v>
      </c>
      <c r="O51" s="43">
        <v>21</v>
      </c>
      <c r="P51" s="43">
        <v>20</v>
      </c>
      <c r="Q51" s="43">
        <v>29</v>
      </c>
      <c r="R51" s="43">
        <v>23</v>
      </c>
      <c r="S51" s="43">
        <v>20</v>
      </c>
      <c r="T51" s="43">
        <v>34</v>
      </c>
      <c r="U51" s="43">
        <v>25</v>
      </c>
      <c r="V51" s="43">
        <v>30</v>
      </c>
      <c r="W51" s="43">
        <v>25</v>
      </c>
      <c r="X51" s="43">
        <v>28</v>
      </c>
      <c r="Y51" s="43">
        <v>37</v>
      </c>
      <c r="Z51" s="1">
        <v>42</v>
      </c>
      <c r="AA51" s="1">
        <v>68</v>
      </c>
      <c r="AB51" s="1">
        <v>52</v>
      </c>
      <c r="AC51" s="1">
        <v>49</v>
      </c>
      <c r="AD51" s="63">
        <v>187</v>
      </c>
      <c r="AE51" s="43"/>
      <c r="AF51" s="43">
        <v>236</v>
      </c>
      <c r="AG51" s="43">
        <v>276</v>
      </c>
      <c r="AH51" s="43">
        <v>294</v>
      </c>
      <c r="AI51" s="43">
        <v>255</v>
      </c>
      <c r="AJ51" s="43">
        <v>244</v>
      </c>
      <c r="AK51" s="43">
        <v>282</v>
      </c>
      <c r="AL51" s="43">
        <v>263</v>
      </c>
      <c r="AM51" s="43">
        <v>240</v>
      </c>
      <c r="AN51" s="43"/>
      <c r="AO51" s="43">
        <v>243</v>
      </c>
      <c r="AP51" s="43">
        <v>232</v>
      </c>
      <c r="AQ51" s="43">
        <v>274</v>
      </c>
      <c r="AR51" s="43">
        <v>276</v>
      </c>
      <c r="AS51" s="43">
        <v>347</v>
      </c>
      <c r="AT51" s="43">
        <v>335</v>
      </c>
      <c r="AU51" s="43">
        <v>324</v>
      </c>
      <c r="AV51" s="43">
        <v>272</v>
      </c>
      <c r="AW51" s="1">
        <v>284</v>
      </c>
      <c r="AX51" s="1">
        <v>310</v>
      </c>
      <c r="AY51" s="1">
        <v>291</v>
      </c>
      <c r="AZ51" s="1">
        <v>333</v>
      </c>
      <c r="BA51" s="1">
        <v>359</v>
      </c>
      <c r="BB51" s="1">
        <v>353</v>
      </c>
      <c r="BC51" s="1">
        <v>370</v>
      </c>
      <c r="BD51" s="1">
        <v>335</v>
      </c>
      <c r="BE51" s="1">
        <v>374</v>
      </c>
    </row>
    <row r="52" spans="1:57" ht="12.75" customHeight="1">
      <c r="A52" s="37" t="s">
        <v>212</v>
      </c>
      <c r="B52" s="60">
        <f t="shared" ref="B52:AU52" si="50">SUM(B54:B62)</f>
        <v>170</v>
      </c>
      <c r="C52" s="38">
        <f t="shared" si="50"/>
        <v>0</v>
      </c>
      <c r="D52" s="38">
        <f t="shared" si="50"/>
        <v>0</v>
      </c>
      <c r="E52" s="38">
        <f t="shared" si="50"/>
        <v>235</v>
      </c>
      <c r="F52" s="38">
        <f t="shared" si="50"/>
        <v>205</v>
      </c>
      <c r="G52" s="38">
        <f t="shared" si="50"/>
        <v>194</v>
      </c>
      <c r="H52" s="38">
        <f t="shared" si="50"/>
        <v>208</v>
      </c>
      <c r="I52" s="38">
        <f t="shared" si="50"/>
        <v>172</v>
      </c>
      <c r="J52" s="38">
        <f t="shared" si="50"/>
        <v>241</v>
      </c>
      <c r="K52" s="38">
        <f t="shared" si="50"/>
        <v>246</v>
      </c>
      <c r="L52" s="38">
        <f t="shared" si="50"/>
        <v>245</v>
      </c>
      <c r="M52" s="38">
        <f t="shared" si="50"/>
        <v>287</v>
      </c>
      <c r="N52" s="38">
        <f t="shared" si="50"/>
        <v>310</v>
      </c>
      <c r="O52" s="38">
        <f t="shared" si="50"/>
        <v>332</v>
      </c>
      <c r="P52" s="38">
        <f t="shared" si="50"/>
        <v>363</v>
      </c>
      <c r="Q52" s="38">
        <f t="shared" si="50"/>
        <v>347</v>
      </c>
      <c r="R52" s="38">
        <f t="shared" si="50"/>
        <v>369</v>
      </c>
      <c r="S52" s="38">
        <f t="shared" si="50"/>
        <v>377</v>
      </c>
      <c r="T52" s="38">
        <f t="shared" ref="T52:U52" si="51">SUM(T54:T62)</f>
        <v>354</v>
      </c>
      <c r="U52" s="38">
        <f t="shared" si="51"/>
        <v>397</v>
      </c>
      <c r="V52" s="38">
        <f t="shared" ref="V52:W52" si="52">SUM(V54:V62)</f>
        <v>418</v>
      </c>
      <c r="W52" s="38">
        <f t="shared" si="52"/>
        <v>413</v>
      </c>
      <c r="X52" s="38">
        <f t="shared" ref="X52:AC52" si="53">SUM(X54:X62)</f>
        <v>465</v>
      </c>
      <c r="Y52" s="38">
        <f t="shared" si="53"/>
        <v>471</v>
      </c>
      <c r="Z52" s="38">
        <f t="shared" si="53"/>
        <v>608</v>
      </c>
      <c r="AA52" s="38">
        <f t="shared" si="53"/>
        <v>625</v>
      </c>
      <c r="AB52" s="38">
        <f t="shared" si="53"/>
        <v>659</v>
      </c>
      <c r="AC52" s="38">
        <f t="shared" si="53"/>
        <v>667</v>
      </c>
      <c r="AD52" s="60">
        <f t="shared" si="50"/>
        <v>1577</v>
      </c>
      <c r="AE52" s="38">
        <f t="shared" si="50"/>
        <v>0</v>
      </c>
      <c r="AF52" s="38">
        <f t="shared" si="50"/>
        <v>85</v>
      </c>
      <c r="AG52" s="38">
        <f t="shared" si="50"/>
        <v>2757</v>
      </c>
      <c r="AH52" s="38">
        <f t="shared" si="50"/>
        <v>3150</v>
      </c>
      <c r="AI52" s="38">
        <f t="shared" si="50"/>
        <v>3156</v>
      </c>
      <c r="AJ52" s="38">
        <f t="shared" si="50"/>
        <v>3022</v>
      </c>
      <c r="AK52" s="38">
        <f t="shared" si="50"/>
        <v>3001</v>
      </c>
      <c r="AL52" s="38">
        <f t="shared" si="50"/>
        <v>3041</v>
      </c>
      <c r="AM52" s="38">
        <f t="shared" si="50"/>
        <v>3157</v>
      </c>
      <c r="AN52" s="38">
        <f t="shared" si="50"/>
        <v>2916</v>
      </c>
      <c r="AO52" s="38">
        <f t="shared" si="50"/>
        <v>3157</v>
      </c>
      <c r="AP52" s="38">
        <f t="shared" si="50"/>
        <v>3411</v>
      </c>
      <c r="AQ52" s="38">
        <f t="shared" si="50"/>
        <v>3753</v>
      </c>
      <c r="AR52" s="38">
        <f t="shared" si="50"/>
        <v>4029</v>
      </c>
      <c r="AS52" s="38">
        <f t="shared" si="50"/>
        <v>4180</v>
      </c>
      <c r="AT52" s="38">
        <f t="shared" si="50"/>
        <v>4327</v>
      </c>
      <c r="AU52" s="38">
        <f t="shared" si="50"/>
        <v>4126</v>
      </c>
      <c r="AV52" s="38">
        <f t="shared" ref="AV52:AW52" si="54">SUM(AV54:AV62)</f>
        <v>3920</v>
      </c>
      <c r="AW52" s="38">
        <f t="shared" si="54"/>
        <v>4186</v>
      </c>
      <c r="AX52" s="38">
        <f t="shared" ref="AX52:AY52" si="55">SUM(AX54:AX62)</f>
        <v>4066</v>
      </c>
      <c r="AY52" s="38">
        <f t="shared" si="55"/>
        <v>4301</v>
      </c>
      <c r="AZ52" s="38">
        <f t="shared" ref="AZ52:BE52" si="56">SUM(AZ54:AZ62)</f>
        <v>4471</v>
      </c>
      <c r="BA52" s="38">
        <f t="shared" si="56"/>
        <v>4414</v>
      </c>
      <c r="BB52" s="38">
        <f t="shared" si="56"/>
        <v>4606</v>
      </c>
      <c r="BC52" s="38">
        <f t="shared" si="56"/>
        <v>4413</v>
      </c>
      <c r="BD52" s="38">
        <f t="shared" si="56"/>
        <v>4810</v>
      </c>
      <c r="BE52" s="38">
        <f t="shared" si="56"/>
        <v>4820</v>
      </c>
    </row>
    <row r="53" spans="1:57" ht="12.75" customHeight="1">
      <c r="A53" s="39" t="s">
        <v>213</v>
      </c>
      <c r="B53" s="61">
        <f t="shared" ref="B53:AU53" si="57">(B52/B4)*100</f>
        <v>23.578363384188627</v>
      </c>
      <c r="C53" s="40">
        <f t="shared" si="57"/>
        <v>0</v>
      </c>
      <c r="D53" s="40">
        <f t="shared" si="57"/>
        <v>0</v>
      </c>
      <c r="E53" s="40">
        <f t="shared" si="57"/>
        <v>29.448621553884713</v>
      </c>
      <c r="F53" s="40">
        <f t="shared" si="57"/>
        <v>25.497512437810943</v>
      </c>
      <c r="G53" s="40">
        <f t="shared" si="57"/>
        <v>22.298850574712645</v>
      </c>
      <c r="H53" s="40">
        <f t="shared" si="57"/>
        <v>22.057264050901377</v>
      </c>
      <c r="I53" s="40">
        <f t="shared" si="57"/>
        <v>18.10526315789474</v>
      </c>
      <c r="J53" s="40">
        <f t="shared" si="57"/>
        <v>22.565543071161049</v>
      </c>
      <c r="K53" s="40">
        <f t="shared" si="57"/>
        <v>20.263591433278417</v>
      </c>
      <c r="L53" s="40">
        <f t="shared" si="57"/>
        <v>19.710378117457765</v>
      </c>
      <c r="M53" s="40">
        <f t="shared" si="57"/>
        <v>19.698009608785174</v>
      </c>
      <c r="N53" s="40">
        <f t="shared" si="57"/>
        <v>19.910083493898522</v>
      </c>
      <c r="O53" s="40">
        <f t="shared" si="57"/>
        <v>19.621749408983451</v>
      </c>
      <c r="P53" s="40">
        <f t="shared" si="57"/>
        <v>20.958429561200923</v>
      </c>
      <c r="Q53" s="40">
        <f t="shared" si="57"/>
        <v>18.536324786324787</v>
      </c>
      <c r="R53" s="40">
        <f t="shared" si="57"/>
        <v>18.159448818897637</v>
      </c>
      <c r="S53" s="40">
        <f t="shared" si="57"/>
        <v>17.81663516068053</v>
      </c>
      <c r="T53" s="40">
        <f t="shared" ref="T53:U53" si="58">(T52/T4)*100</f>
        <v>17.134559535333977</v>
      </c>
      <c r="U53" s="40">
        <f t="shared" si="58"/>
        <v>18.053660754888586</v>
      </c>
      <c r="V53" s="40">
        <f t="shared" ref="V53:W53" si="59">(V52/V4)*100</f>
        <v>17.294166321886635</v>
      </c>
      <c r="W53" s="40">
        <f t="shared" si="59"/>
        <v>16.076294277929154</v>
      </c>
      <c r="X53" s="40">
        <f t="shared" ref="X53:AC53" si="60">(X52/X4)*100</f>
        <v>16.660695091365103</v>
      </c>
      <c r="Y53" s="40">
        <f t="shared" si="60"/>
        <v>15.447687766480813</v>
      </c>
      <c r="Z53" s="40">
        <f t="shared" si="60"/>
        <v>18.598959926583053</v>
      </c>
      <c r="AA53" s="40">
        <f t="shared" si="60"/>
        <v>18.184463194646494</v>
      </c>
      <c r="AB53" s="40">
        <f t="shared" si="60"/>
        <v>18.356545961002784</v>
      </c>
      <c r="AC53" s="40">
        <f t="shared" si="60"/>
        <v>17.515756302521009</v>
      </c>
      <c r="AD53" s="61">
        <f t="shared" si="57"/>
        <v>24.803397294746777</v>
      </c>
      <c r="AE53" s="40">
        <f t="shared" si="57"/>
        <v>0</v>
      </c>
      <c r="AF53" s="40">
        <f t="shared" si="57"/>
        <v>3.0920334667151694</v>
      </c>
      <c r="AG53" s="40">
        <f t="shared" si="57"/>
        <v>25.549068668334723</v>
      </c>
      <c r="AH53" s="40">
        <f t="shared" si="57"/>
        <v>27.580772261623327</v>
      </c>
      <c r="AI53" s="40">
        <f t="shared" si="57"/>
        <v>27.667221881300957</v>
      </c>
      <c r="AJ53" s="40">
        <f t="shared" si="57"/>
        <v>27.020743919885547</v>
      </c>
      <c r="AK53" s="40">
        <f t="shared" si="57"/>
        <v>26.243987756886749</v>
      </c>
      <c r="AL53" s="40">
        <f t="shared" si="57"/>
        <v>26.605424321959752</v>
      </c>
      <c r="AM53" s="40">
        <f t="shared" si="57"/>
        <v>27.824784064868673</v>
      </c>
      <c r="AN53" s="40">
        <f t="shared" si="57"/>
        <v>28.902765388046387</v>
      </c>
      <c r="AO53" s="40">
        <f t="shared" si="57"/>
        <v>27.154653363151553</v>
      </c>
      <c r="AP53" s="40">
        <f t="shared" si="57"/>
        <v>26.746647847565281</v>
      </c>
      <c r="AQ53" s="40">
        <f t="shared" si="57"/>
        <v>26.167898479988843</v>
      </c>
      <c r="AR53" s="40">
        <f t="shared" si="57"/>
        <v>25.231713426853709</v>
      </c>
      <c r="AS53" s="40">
        <f t="shared" si="57"/>
        <v>24.596916558785452</v>
      </c>
      <c r="AT53" s="40">
        <f t="shared" si="57"/>
        <v>25.159902314222581</v>
      </c>
      <c r="AU53" s="40">
        <f t="shared" si="57"/>
        <v>24.702149314494402</v>
      </c>
      <c r="AV53" s="40">
        <f t="shared" ref="AV53:AW53" si="61">(AV52/AV4)*100</f>
        <v>25.070350473266821</v>
      </c>
      <c r="AW53" s="40">
        <f t="shared" si="61"/>
        <v>25.726753119046158</v>
      </c>
      <c r="AX53" s="40">
        <f t="shared" ref="AX53:AY53" si="62">(AX52/AX4)*100</f>
        <v>24.149195224802519</v>
      </c>
      <c r="AY53" s="40">
        <f t="shared" si="62"/>
        <v>24.412532637075717</v>
      </c>
      <c r="AZ53" s="40">
        <f t="shared" ref="AZ53:BE53" si="63">(AZ52/AZ4)*100</f>
        <v>24.450399212512306</v>
      </c>
      <c r="BA53" s="40">
        <f t="shared" si="63"/>
        <v>24.230114728001318</v>
      </c>
      <c r="BB53" s="40">
        <f t="shared" si="63"/>
        <v>24.947191680658616</v>
      </c>
      <c r="BC53" s="40">
        <f t="shared" si="63"/>
        <v>23.409898679115166</v>
      </c>
      <c r="BD53" s="40">
        <f t="shared" si="63"/>
        <v>24.417483120970608</v>
      </c>
      <c r="BE53" s="40">
        <f t="shared" si="63"/>
        <v>23.774292196902437</v>
      </c>
    </row>
    <row r="54" spans="1:57" ht="12.75" customHeight="1">
      <c r="A54" s="37" t="s">
        <v>129</v>
      </c>
      <c r="B54" s="62">
        <v>6</v>
      </c>
      <c r="C54" s="41"/>
      <c r="D54" s="41"/>
      <c r="E54" s="41">
        <v>8</v>
      </c>
      <c r="F54" s="41">
        <v>10</v>
      </c>
      <c r="G54" s="41">
        <v>17</v>
      </c>
      <c r="H54" s="41">
        <v>11</v>
      </c>
      <c r="I54" s="41">
        <v>10</v>
      </c>
      <c r="J54" s="41">
        <v>9</v>
      </c>
      <c r="K54" s="41">
        <v>15</v>
      </c>
      <c r="L54" s="41">
        <v>17</v>
      </c>
      <c r="M54" s="41">
        <v>17</v>
      </c>
      <c r="N54" s="41">
        <v>20</v>
      </c>
      <c r="O54" s="41">
        <v>19</v>
      </c>
      <c r="P54" s="41">
        <v>26</v>
      </c>
      <c r="Q54" s="41">
        <v>14</v>
      </c>
      <c r="R54" s="41">
        <v>15</v>
      </c>
      <c r="S54" s="41">
        <v>27</v>
      </c>
      <c r="T54" s="41">
        <v>8</v>
      </c>
      <c r="U54" s="41">
        <v>15</v>
      </c>
      <c r="V54" s="41">
        <v>19</v>
      </c>
      <c r="W54" s="41">
        <v>24</v>
      </c>
      <c r="X54" s="41">
        <v>27</v>
      </c>
      <c r="Y54" s="41">
        <v>26</v>
      </c>
      <c r="Z54" s="1">
        <v>26</v>
      </c>
      <c r="AA54" s="1">
        <v>18</v>
      </c>
      <c r="AB54" s="1">
        <v>32</v>
      </c>
      <c r="AC54" s="1">
        <v>35</v>
      </c>
      <c r="AD54" s="62">
        <v>91</v>
      </c>
      <c r="AE54" s="41"/>
      <c r="AF54" s="41"/>
      <c r="AG54" s="41">
        <v>133</v>
      </c>
      <c r="AH54" s="41">
        <v>158</v>
      </c>
      <c r="AI54" s="41">
        <v>145</v>
      </c>
      <c r="AJ54" s="41">
        <v>184</v>
      </c>
      <c r="AK54" s="41">
        <v>171</v>
      </c>
      <c r="AL54" s="41">
        <v>173</v>
      </c>
      <c r="AM54" s="41">
        <v>203</v>
      </c>
      <c r="AN54" s="41">
        <v>170</v>
      </c>
      <c r="AO54" s="41">
        <v>188</v>
      </c>
      <c r="AP54" s="41">
        <v>213</v>
      </c>
      <c r="AQ54" s="41">
        <v>233</v>
      </c>
      <c r="AR54" s="41">
        <v>238</v>
      </c>
      <c r="AS54" s="41">
        <v>255</v>
      </c>
      <c r="AT54" s="41">
        <v>257</v>
      </c>
      <c r="AU54" s="41">
        <v>218</v>
      </c>
      <c r="AV54" s="41">
        <v>215</v>
      </c>
      <c r="AW54" s="1">
        <v>232</v>
      </c>
      <c r="AX54" s="1">
        <v>250</v>
      </c>
      <c r="AY54" s="1">
        <v>237</v>
      </c>
      <c r="AZ54" s="1">
        <v>265</v>
      </c>
      <c r="BA54" s="1">
        <v>275</v>
      </c>
      <c r="BB54" s="1">
        <v>295</v>
      </c>
      <c r="BC54" s="1">
        <v>267</v>
      </c>
      <c r="BD54" s="1">
        <v>303</v>
      </c>
      <c r="BE54" s="1">
        <v>305</v>
      </c>
    </row>
    <row r="55" spans="1:57" ht="12.75" customHeight="1">
      <c r="A55" s="37" t="s">
        <v>138</v>
      </c>
      <c r="B55" s="62">
        <v>0</v>
      </c>
      <c r="C55" s="41"/>
      <c r="D55" s="41"/>
      <c r="E55" s="41">
        <v>0</v>
      </c>
      <c r="F55" s="41">
        <v>0</v>
      </c>
      <c r="G55" s="41">
        <v>0</v>
      </c>
      <c r="H55" s="41">
        <v>0</v>
      </c>
      <c r="I55" s="41">
        <v>0</v>
      </c>
      <c r="J55" s="41">
        <v>1</v>
      </c>
      <c r="K55" s="41">
        <v>0</v>
      </c>
      <c r="L55" s="41">
        <v>0</v>
      </c>
      <c r="M55" s="41">
        <v>0</v>
      </c>
      <c r="N55" s="41">
        <v>0</v>
      </c>
      <c r="O55" s="41">
        <v>0</v>
      </c>
      <c r="P55" s="41">
        <v>0</v>
      </c>
      <c r="Q55" s="41">
        <v>0</v>
      </c>
      <c r="R55" s="41">
        <v>0</v>
      </c>
      <c r="S55" s="41">
        <v>0</v>
      </c>
      <c r="T55" s="41">
        <v>1</v>
      </c>
      <c r="U55" s="41">
        <v>1</v>
      </c>
      <c r="V55" s="41">
        <v>0</v>
      </c>
      <c r="W55" s="41">
        <v>2</v>
      </c>
      <c r="X55" s="41">
        <v>0</v>
      </c>
      <c r="Y55" s="41">
        <v>0</v>
      </c>
      <c r="Z55" s="1">
        <v>0</v>
      </c>
      <c r="AA55" s="1">
        <v>3</v>
      </c>
      <c r="AB55" s="1">
        <v>2</v>
      </c>
      <c r="AC55" s="1">
        <v>2</v>
      </c>
      <c r="AD55" s="62">
        <v>1</v>
      </c>
      <c r="AE55" s="41"/>
      <c r="AF55" s="41"/>
      <c r="AG55" s="41">
        <v>3</v>
      </c>
      <c r="AH55" s="41">
        <v>0</v>
      </c>
      <c r="AI55" s="41">
        <v>1</v>
      </c>
      <c r="AJ55" s="41">
        <v>2</v>
      </c>
      <c r="AK55" s="41">
        <v>4</v>
      </c>
      <c r="AL55" s="41">
        <v>7</v>
      </c>
      <c r="AM55" s="41">
        <v>16</v>
      </c>
      <c r="AN55" s="41">
        <v>11</v>
      </c>
      <c r="AO55" s="41">
        <v>22</v>
      </c>
      <c r="AP55" s="41">
        <v>6</v>
      </c>
      <c r="AQ55" s="41">
        <v>10</v>
      </c>
      <c r="AR55" s="41">
        <v>10</v>
      </c>
      <c r="AS55" s="41">
        <v>15</v>
      </c>
      <c r="AT55" s="41">
        <v>11</v>
      </c>
      <c r="AU55" s="41">
        <v>14</v>
      </c>
      <c r="AV55" s="41">
        <v>10</v>
      </c>
      <c r="AW55" s="1">
        <v>12</v>
      </c>
      <c r="AX55" s="1">
        <v>9</v>
      </c>
      <c r="AY55" s="1">
        <v>10</v>
      </c>
      <c r="AZ55" s="1">
        <v>15</v>
      </c>
      <c r="BA55" s="1">
        <v>18</v>
      </c>
      <c r="BB55" s="1">
        <v>13</v>
      </c>
      <c r="BC55" s="1">
        <v>12</v>
      </c>
      <c r="BD55" s="1">
        <v>16</v>
      </c>
      <c r="BE55" s="1">
        <v>14</v>
      </c>
    </row>
    <row r="56" spans="1:57" ht="12.75" customHeight="1">
      <c r="A56" s="37" t="s">
        <v>137</v>
      </c>
      <c r="B56" s="62">
        <v>46</v>
      </c>
      <c r="C56" s="41"/>
      <c r="D56" s="41"/>
      <c r="E56" s="41">
        <v>57</v>
      </c>
      <c r="F56" s="41">
        <v>51</v>
      </c>
      <c r="G56" s="41">
        <v>39</v>
      </c>
      <c r="H56" s="41">
        <v>48</v>
      </c>
      <c r="I56" s="41">
        <v>42</v>
      </c>
      <c r="J56" s="41">
        <v>49</v>
      </c>
      <c r="K56" s="41">
        <v>58</v>
      </c>
      <c r="L56" s="41">
        <v>58</v>
      </c>
      <c r="M56" s="41">
        <v>57</v>
      </c>
      <c r="N56" s="41">
        <v>57</v>
      </c>
      <c r="O56" s="41">
        <v>62</v>
      </c>
      <c r="P56" s="41">
        <v>77</v>
      </c>
      <c r="Q56" s="41">
        <v>83</v>
      </c>
      <c r="R56" s="41">
        <v>80</v>
      </c>
      <c r="S56" s="41">
        <v>80</v>
      </c>
      <c r="T56" s="41">
        <v>76</v>
      </c>
      <c r="U56" s="41">
        <v>64</v>
      </c>
      <c r="V56" s="41">
        <v>89</v>
      </c>
      <c r="W56" s="41">
        <v>83</v>
      </c>
      <c r="X56" s="41">
        <v>106</v>
      </c>
      <c r="Y56" s="41">
        <v>68</v>
      </c>
      <c r="Z56" s="1">
        <v>124</v>
      </c>
      <c r="AA56" s="1">
        <v>118</v>
      </c>
      <c r="AB56" s="1">
        <v>116</v>
      </c>
      <c r="AC56" s="1">
        <v>146</v>
      </c>
      <c r="AD56" s="62">
        <v>404</v>
      </c>
      <c r="AE56" s="41"/>
      <c r="AF56" s="41"/>
      <c r="AG56" s="41">
        <v>621</v>
      </c>
      <c r="AH56" s="41">
        <v>648</v>
      </c>
      <c r="AI56" s="41">
        <v>645</v>
      </c>
      <c r="AJ56" s="41">
        <v>658</v>
      </c>
      <c r="AK56" s="41">
        <v>654</v>
      </c>
      <c r="AL56" s="41">
        <v>653</v>
      </c>
      <c r="AM56" s="41">
        <v>756</v>
      </c>
      <c r="AN56" s="41">
        <v>708</v>
      </c>
      <c r="AO56" s="41">
        <v>692</v>
      </c>
      <c r="AP56" s="41">
        <v>714</v>
      </c>
      <c r="AQ56" s="41">
        <v>776</v>
      </c>
      <c r="AR56" s="41">
        <v>843</v>
      </c>
      <c r="AS56" s="41">
        <v>889</v>
      </c>
      <c r="AT56" s="41">
        <v>938</v>
      </c>
      <c r="AU56" s="41">
        <v>942</v>
      </c>
      <c r="AV56" s="41">
        <v>852</v>
      </c>
      <c r="AW56" s="1">
        <v>952</v>
      </c>
      <c r="AX56" s="1">
        <v>922</v>
      </c>
      <c r="AY56" s="1">
        <v>985</v>
      </c>
      <c r="AZ56" s="1">
        <v>1002</v>
      </c>
      <c r="BA56" s="1">
        <v>993</v>
      </c>
      <c r="BB56" s="1">
        <v>1108</v>
      </c>
      <c r="BC56" s="1">
        <v>1073</v>
      </c>
      <c r="BD56" s="1">
        <v>1142</v>
      </c>
      <c r="BE56" s="1">
        <v>1222</v>
      </c>
    </row>
    <row r="57" spans="1:57" ht="12.75" customHeight="1">
      <c r="A57" s="37" t="s">
        <v>145</v>
      </c>
      <c r="B57" s="62">
        <v>0</v>
      </c>
      <c r="C57" s="41"/>
      <c r="D57" s="41"/>
      <c r="E57" s="41">
        <v>2</v>
      </c>
      <c r="F57" s="41">
        <v>0</v>
      </c>
      <c r="G57" s="41">
        <v>0</v>
      </c>
      <c r="H57" s="41">
        <v>1</v>
      </c>
      <c r="I57" s="41">
        <v>0</v>
      </c>
      <c r="J57" s="41">
        <v>2</v>
      </c>
      <c r="K57" s="41">
        <v>0</v>
      </c>
      <c r="L57" s="41">
        <v>2</v>
      </c>
      <c r="M57" s="41">
        <v>3</v>
      </c>
      <c r="N57" s="41">
        <v>2</v>
      </c>
      <c r="O57" s="41">
        <v>1</v>
      </c>
      <c r="P57" s="41">
        <v>2</v>
      </c>
      <c r="Q57" s="41">
        <v>3</v>
      </c>
      <c r="R57" s="41">
        <v>2</v>
      </c>
      <c r="S57" s="41">
        <v>5</v>
      </c>
      <c r="T57" s="41">
        <v>2</v>
      </c>
      <c r="U57" s="41">
        <v>2</v>
      </c>
      <c r="V57" s="41">
        <v>1</v>
      </c>
      <c r="W57" s="41">
        <v>5</v>
      </c>
      <c r="X57" s="41">
        <v>4</v>
      </c>
      <c r="Y57" s="41">
        <v>8</v>
      </c>
      <c r="Z57" s="1">
        <v>1</v>
      </c>
      <c r="AA57" s="1">
        <v>5</v>
      </c>
      <c r="AB57" s="1">
        <v>4</v>
      </c>
      <c r="AC57" s="1">
        <v>7</v>
      </c>
      <c r="AD57" s="62">
        <v>13</v>
      </c>
      <c r="AE57" s="41"/>
      <c r="AF57" s="41"/>
      <c r="AG57" s="41">
        <v>20</v>
      </c>
      <c r="AH57" s="41">
        <v>34</v>
      </c>
      <c r="AI57" s="41">
        <v>23</v>
      </c>
      <c r="AJ57" s="41">
        <v>29</v>
      </c>
      <c r="AK57" s="41">
        <v>26</v>
      </c>
      <c r="AL57" s="41">
        <v>27</v>
      </c>
      <c r="AM57" s="41">
        <v>32</v>
      </c>
      <c r="AN57" s="41">
        <v>21</v>
      </c>
      <c r="AO57" s="41">
        <v>32</v>
      </c>
      <c r="AP57" s="41">
        <v>31</v>
      </c>
      <c r="AQ57" s="41">
        <v>31</v>
      </c>
      <c r="AR57" s="41">
        <v>47</v>
      </c>
      <c r="AS57" s="41">
        <v>40</v>
      </c>
      <c r="AT57" s="41">
        <v>39</v>
      </c>
      <c r="AU57" s="41">
        <v>42</v>
      </c>
      <c r="AV57" s="41">
        <v>43</v>
      </c>
      <c r="AW57" s="1">
        <v>44</v>
      </c>
      <c r="AX57" s="1">
        <v>36</v>
      </c>
      <c r="AY57" s="1">
        <v>58</v>
      </c>
      <c r="AZ57" s="1">
        <v>51</v>
      </c>
      <c r="BA57" s="1">
        <v>49</v>
      </c>
      <c r="BB57" s="1">
        <v>57</v>
      </c>
      <c r="BC57" s="1">
        <v>49</v>
      </c>
      <c r="BD57" s="1">
        <v>51</v>
      </c>
      <c r="BE57" s="1">
        <v>60</v>
      </c>
    </row>
    <row r="58" spans="1:57" ht="12.75" customHeight="1">
      <c r="A58" s="37" t="s">
        <v>146</v>
      </c>
      <c r="B58" s="62">
        <v>18</v>
      </c>
      <c r="C58" s="41"/>
      <c r="D58" s="41"/>
      <c r="E58" s="41">
        <v>20</v>
      </c>
      <c r="F58" s="41">
        <v>19</v>
      </c>
      <c r="G58" s="41">
        <v>16</v>
      </c>
      <c r="H58" s="41">
        <v>26</v>
      </c>
      <c r="I58" s="41">
        <v>20</v>
      </c>
      <c r="J58" s="41">
        <v>26</v>
      </c>
      <c r="K58" s="41">
        <v>22</v>
      </c>
      <c r="L58" s="41">
        <v>21</v>
      </c>
      <c r="M58" s="41">
        <v>29</v>
      </c>
      <c r="N58" s="41">
        <v>32</v>
      </c>
      <c r="O58" s="41">
        <v>34</v>
      </c>
      <c r="P58" s="41">
        <v>45</v>
      </c>
      <c r="Q58" s="41">
        <v>36</v>
      </c>
      <c r="R58" s="41">
        <v>35</v>
      </c>
      <c r="S58" s="41">
        <v>55</v>
      </c>
      <c r="T58" s="41">
        <v>52</v>
      </c>
      <c r="U58" s="41">
        <v>57</v>
      </c>
      <c r="V58" s="41">
        <v>47</v>
      </c>
      <c r="W58" s="41">
        <v>32</v>
      </c>
      <c r="X58" s="41">
        <v>50</v>
      </c>
      <c r="Y58" s="41">
        <v>73</v>
      </c>
      <c r="Z58" s="1">
        <v>66</v>
      </c>
      <c r="AA58" s="1">
        <v>74</v>
      </c>
      <c r="AB58" s="1">
        <v>72</v>
      </c>
      <c r="AC58" s="1">
        <v>99</v>
      </c>
      <c r="AD58" s="62">
        <v>94</v>
      </c>
      <c r="AE58" s="41"/>
      <c r="AF58" s="41"/>
      <c r="AG58" s="41">
        <v>291</v>
      </c>
      <c r="AH58" s="41">
        <v>296</v>
      </c>
      <c r="AI58" s="41">
        <v>341</v>
      </c>
      <c r="AJ58" s="41">
        <v>285</v>
      </c>
      <c r="AK58" s="41">
        <v>330</v>
      </c>
      <c r="AL58" s="41">
        <v>334</v>
      </c>
      <c r="AM58" s="41">
        <v>281</v>
      </c>
      <c r="AN58" s="41">
        <v>349</v>
      </c>
      <c r="AO58" s="41">
        <v>313</v>
      </c>
      <c r="AP58" s="41">
        <v>409</v>
      </c>
      <c r="AQ58" s="41">
        <v>401</v>
      </c>
      <c r="AR58" s="41">
        <v>446</v>
      </c>
      <c r="AS58" s="41">
        <v>453</v>
      </c>
      <c r="AT58" s="41">
        <v>456</v>
      </c>
      <c r="AU58" s="41">
        <v>449</v>
      </c>
      <c r="AV58" s="41">
        <v>429</v>
      </c>
      <c r="AW58" s="1">
        <v>436</v>
      </c>
      <c r="AX58" s="1">
        <v>428</v>
      </c>
      <c r="AY58" s="1">
        <v>405</v>
      </c>
      <c r="AZ58" s="1">
        <v>435</v>
      </c>
      <c r="BA58" s="1">
        <v>442</v>
      </c>
      <c r="BB58" s="1">
        <v>428</v>
      </c>
      <c r="BC58" s="1">
        <v>443</v>
      </c>
      <c r="BD58" s="1">
        <v>509</v>
      </c>
      <c r="BE58" s="1">
        <v>475</v>
      </c>
    </row>
    <row r="59" spans="1:57" ht="12.75" customHeight="1">
      <c r="A59" s="37" t="s">
        <v>149</v>
      </c>
      <c r="B59" s="62">
        <v>68</v>
      </c>
      <c r="C59" s="41"/>
      <c r="D59" s="41"/>
      <c r="E59" s="41">
        <v>110</v>
      </c>
      <c r="F59" s="41">
        <v>90</v>
      </c>
      <c r="G59" s="41">
        <v>89</v>
      </c>
      <c r="H59" s="41">
        <v>79</v>
      </c>
      <c r="I59" s="41">
        <v>69</v>
      </c>
      <c r="J59" s="41">
        <v>96</v>
      </c>
      <c r="K59" s="41">
        <v>102</v>
      </c>
      <c r="L59" s="41">
        <v>104</v>
      </c>
      <c r="M59" s="41">
        <v>139</v>
      </c>
      <c r="N59" s="41">
        <v>149</v>
      </c>
      <c r="O59" s="41">
        <v>161</v>
      </c>
      <c r="P59" s="41">
        <v>152</v>
      </c>
      <c r="Q59" s="41">
        <v>155</v>
      </c>
      <c r="R59" s="41">
        <v>166</v>
      </c>
      <c r="S59" s="41">
        <v>150</v>
      </c>
      <c r="T59" s="41">
        <v>167</v>
      </c>
      <c r="U59" s="41">
        <v>174</v>
      </c>
      <c r="V59" s="41">
        <v>177</v>
      </c>
      <c r="W59" s="41">
        <v>189</v>
      </c>
      <c r="X59" s="41">
        <v>182</v>
      </c>
      <c r="Y59" s="41">
        <v>201</v>
      </c>
      <c r="Z59" s="1">
        <v>279</v>
      </c>
      <c r="AA59" s="1">
        <v>291</v>
      </c>
      <c r="AB59" s="1">
        <v>323</v>
      </c>
      <c r="AC59" s="1">
        <v>250</v>
      </c>
      <c r="AD59" s="62">
        <v>516</v>
      </c>
      <c r="AE59" s="41"/>
      <c r="AF59" s="41"/>
      <c r="AG59" s="41">
        <v>1030</v>
      </c>
      <c r="AH59" s="41">
        <v>1220</v>
      </c>
      <c r="AI59" s="41">
        <v>1236</v>
      </c>
      <c r="AJ59" s="41">
        <v>1083</v>
      </c>
      <c r="AK59" s="41">
        <v>1088</v>
      </c>
      <c r="AL59" s="41">
        <v>1067</v>
      </c>
      <c r="AM59" s="41">
        <v>1142</v>
      </c>
      <c r="AN59" s="41">
        <v>1072</v>
      </c>
      <c r="AO59" s="41">
        <v>1098</v>
      </c>
      <c r="AP59" s="41">
        <v>1196</v>
      </c>
      <c r="AQ59" s="41">
        <v>1327</v>
      </c>
      <c r="AR59" s="41">
        <v>1433</v>
      </c>
      <c r="AS59" s="41">
        <v>1485</v>
      </c>
      <c r="AT59" s="41">
        <v>1586</v>
      </c>
      <c r="AU59" s="41">
        <v>1439</v>
      </c>
      <c r="AV59" s="41">
        <v>1415</v>
      </c>
      <c r="AW59" s="1">
        <v>1483</v>
      </c>
      <c r="AX59" s="1">
        <v>1399</v>
      </c>
      <c r="AY59" s="1">
        <v>1548</v>
      </c>
      <c r="AZ59" s="1">
        <v>1597</v>
      </c>
      <c r="BA59" s="1">
        <v>1555</v>
      </c>
      <c r="BB59" s="1">
        <v>1586</v>
      </c>
      <c r="BC59" s="1">
        <v>1533</v>
      </c>
      <c r="BD59" s="1">
        <v>1667</v>
      </c>
      <c r="BE59" s="1">
        <v>1613</v>
      </c>
    </row>
    <row r="60" spans="1:57" ht="12.75" customHeight="1">
      <c r="A60" s="37" t="s">
        <v>152</v>
      </c>
      <c r="B60" s="62">
        <v>27</v>
      </c>
      <c r="C60" s="41"/>
      <c r="D60" s="41"/>
      <c r="E60" s="41">
        <v>32</v>
      </c>
      <c r="F60" s="41">
        <v>33</v>
      </c>
      <c r="G60" s="41">
        <v>30</v>
      </c>
      <c r="H60" s="41">
        <v>36</v>
      </c>
      <c r="I60" s="41">
        <v>29</v>
      </c>
      <c r="J60" s="41">
        <v>54</v>
      </c>
      <c r="K60" s="41">
        <v>43</v>
      </c>
      <c r="L60" s="41">
        <v>36</v>
      </c>
      <c r="M60" s="41">
        <v>37</v>
      </c>
      <c r="N60" s="41">
        <v>42</v>
      </c>
      <c r="O60" s="41">
        <v>50</v>
      </c>
      <c r="P60" s="41">
        <v>54</v>
      </c>
      <c r="Q60" s="41">
        <v>52</v>
      </c>
      <c r="R60" s="41">
        <v>63</v>
      </c>
      <c r="S60" s="41">
        <v>57</v>
      </c>
      <c r="T60" s="41">
        <v>41</v>
      </c>
      <c r="U60" s="41">
        <v>75</v>
      </c>
      <c r="V60" s="41">
        <v>68</v>
      </c>
      <c r="W60" s="41">
        <v>59</v>
      </c>
      <c r="X60" s="41">
        <v>77</v>
      </c>
      <c r="Y60" s="41">
        <v>69</v>
      </c>
      <c r="Z60" s="1">
        <v>92</v>
      </c>
      <c r="AA60" s="1">
        <v>92</v>
      </c>
      <c r="AB60" s="1">
        <v>96</v>
      </c>
      <c r="AC60" s="1">
        <v>108</v>
      </c>
      <c r="AD60" s="62">
        <v>403</v>
      </c>
      <c r="AE60" s="41"/>
      <c r="AF60" s="41"/>
      <c r="AG60" s="41">
        <v>560</v>
      </c>
      <c r="AH60" s="41">
        <v>680</v>
      </c>
      <c r="AI60" s="41">
        <v>689</v>
      </c>
      <c r="AJ60" s="41">
        <v>698</v>
      </c>
      <c r="AK60" s="41">
        <v>645</v>
      </c>
      <c r="AL60" s="41">
        <v>699</v>
      </c>
      <c r="AM60" s="41">
        <v>642</v>
      </c>
      <c r="AN60" s="41">
        <v>585</v>
      </c>
      <c r="AO60" s="41">
        <v>711</v>
      </c>
      <c r="AP60" s="41">
        <v>761</v>
      </c>
      <c r="AQ60" s="41">
        <v>878</v>
      </c>
      <c r="AR60" s="41">
        <v>888</v>
      </c>
      <c r="AS60" s="41">
        <v>937</v>
      </c>
      <c r="AT60" s="41">
        <v>932</v>
      </c>
      <c r="AU60" s="41">
        <v>896</v>
      </c>
      <c r="AV60" s="41">
        <v>828</v>
      </c>
      <c r="AW60" s="1">
        <v>910</v>
      </c>
      <c r="AX60" s="1">
        <v>895</v>
      </c>
      <c r="AY60" s="1">
        <v>938</v>
      </c>
      <c r="AZ60" s="1">
        <v>995</v>
      </c>
      <c r="BA60" s="1">
        <v>975</v>
      </c>
      <c r="BB60" s="1">
        <v>990</v>
      </c>
      <c r="BC60" s="1">
        <v>931</v>
      </c>
      <c r="BD60" s="1">
        <v>1024</v>
      </c>
      <c r="BE60" s="1">
        <v>1024</v>
      </c>
    </row>
    <row r="61" spans="1:57" ht="12.75" customHeight="1">
      <c r="A61" s="37" t="s">
        <v>153</v>
      </c>
      <c r="B61" s="62">
        <v>5</v>
      </c>
      <c r="C61" s="41"/>
      <c r="D61" s="41"/>
      <c r="E61" s="41">
        <v>5</v>
      </c>
      <c r="F61" s="41">
        <v>2</v>
      </c>
      <c r="G61" s="41">
        <v>2</v>
      </c>
      <c r="H61" s="41">
        <v>7</v>
      </c>
      <c r="I61" s="41">
        <v>1</v>
      </c>
      <c r="J61" s="41">
        <v>4</v>
      </c>
      <c r="K61" s="41">
        <v>5</v>
      </c>
      <c r="L61" s="41">
        <v>6</v>
      </c>
      <c r="M61" s="41">
        <v>5</v>
      </c>
      <c r="N61" s="41">
        <v>5</v>
      </c>
      <c r="O61" s="41">
        <v>5</v>
      </c>
      <c r="P61" s="41">
        <v>5</v>
      </c>
      <c r="Q61" s="41">
        <v>3</v>
      </c>
      <c r="R61" s="41">
        <v>7</v>
      </c>
      <c r="S61" s="41">
        <v>2</v>
      </c>
      <c r="T61" s="41">
        <v>7</v>
      </c>
      <c r="U61" s="41">
        <v>8</v>
      </c>
      <c r="V61" s="41">
        <v>12</v>
      </c>
      <c r="W61" s="41">
        <v>11</v>
      </c>
      <c r="X61" s="41">
        <v>14</v>
      </c>
      <c r="Y61" s="41">
        <v>20</v>
      </c>
      <c r="Z61" s="1">
        <v>13</v>
      </c>
      <c r="AA61" s="1">
        <v>24</v>
      </c>
      <c r="AB61" s="1">
        <v>10</v>
      </c>
      <c r="AC61" s="1">
        <v>14</v>
      </c>
      <c r="AD61" s="62">
        <v>55</v>
      </c>
      <c r="AE61" s="41"/>
      <c r="AF61" s="41">
        <v>81</v>
      </c>
      <c r="AG61" s="41">
        <v>92</v>
      </c>
      <c r="AH61" s="41">
        <v>101</v>
      </c>
      <c r="AI61" s="41">
        <v>73</v>
      </c>
      <c r="AJ61" s="41">
        <v>79</v>
      </c>
      <c r="AK61" s="41">
        <v>73</v>
      </c>
      <c r="AL61" s="41">
        <v>73</v>
      </c>
      <c r="AM61" s="41">
        <v>81</v>
      </c>
      <c r="AN61" s="41"/>
      <c r="AO61" s="41">
        <v>96</v>
      </c>
      <c r="AP61" s="41">
        <v>77</v>
      </c>
      <c r="AQ61" s="41">
        <v>88</v>
      </c>
      <c r="AR61" s="41">
        <v>106</v>
      </c>
      <c r="AS61" s="41">
        <v>97</v>
      </c>
      <c r="AT61" s="41">
        <v>92</v>
      </c>
      <c r="AU61" s="41">
        <v>116</v>
      </c>
      <c r="AV61" s="41">
        <v>110</v>
      </c>
      <c r="AW61" s="1">
        <v>106</v>
      </c>
      <c r="AX61" s="1">
        <v>108</v>
      </c>
      <c r="AY61" s="1">
        <v>100</v>
      </c>
      <c r="AZ61" s="1">
        <v>94</v>
      </c>
      <c r="BA61" s="1">
        <v>93</v>
      </c>
      <c r="BB61" s="1">
        <v>112</v>
      </c>
      <c r="BC61" s="1">
        <v>100</v>
      </c>
      <c r="BD61" s="1">
        <v>86</v>
      </c>
      <c r="BE61" s="1">
        <v>87</v>
      </c>
    </row>
    <row r="62" spans="1:57" ht="12.75" customHeight="1">
      <c r="A62" s="42" t="s">
        <v>156</v>
      </c>
      <c r="B62" s="63">
        <v>0</v>
      </c>
      <c r="C62" s="43"/>
      <c r="D62" s="43"/>
      <c r="E62" s="43">
        <v>1</v>
      </c>
      <c r="F62" s="43">
        <v>0</v>
      </c>
      <c r="G62" s="43">
        <v>1</v>
      </c>
      <c r="H62" s="43">
        <v>0</v>
      </c>
      <c r="I62" s="43">
        <v>1</v>
      </c>
      <c r="J62" s="43">
        <v>0</v>
      </c>
      <c r="K62" s="43">
        <v>1</v>
      </c>
      <c r="L62" s="43">
        <v>1</v>
      </c>
      <c r="M62" s="43">
        <v>0</v>
      </c>
      <c r="N62" s="43">
        <v>3</v>
      </c>
      <c r="O62" s="43">
        <v>0</v>
      </c>
      <c r="P62" s="43">
        <v>2</v>
      </c>
      <c r="Q62" s="43">
        <v>1</v>
      </c>
      <c r="R62" s="43">
        <v>1</v>
      </c>
      <c r="S62" s="43">
        <v>1</v>
      </c>
      <c r="T62" s="43">
        <v>0</v>
      </c>
      <c r="U62" s="43">
        <v>1</v>
      </c>
      <c r="V62" s="43">
        <v>5</v>
      </c>
      <c r="W62" s="43">
        <v>8</v>
      </c>
      <c r="X62" s="43">
        <v>5</v>
      </c>
      <c r="Y62" s="43">
        <v>6</v>
      </c>
      <c r="Z62" s="1">
        <v>7</v>
      </c>
      <c r="AA62" s="1">
        <v>0</v>
      </c>
      <c r="AB62" s="1">
        <v>4</v>
      </c>
      <c r="AC62" s="1">
        <v>6</v>
      </c>
      <c r="AD62" s="63">
        <v>0</v>
      </c>
      <c r="AE62" s="43"/>
      <c r="AF62" s="43">
        <v>4</v>
      </c>
      <c r="AG62" s="43">
        <v>7</v>
      </c>
      <c r="AH62" s="43">
        <v>13</v>
      </c>
      <c r="AI62" s="43">
        <v>3</v>
      </c>
      <c r="AJ62" s="43">
        <v>4</v>
      </c>
      <c r="AK62" s="43">
        <v>10</v>
      </c>
      <c r="AL62" s="43">
        <v>8</v>
      </c>
      <c r="AM62" s="43">
        <v>4</v>
      </c>
      <c r="AN62" s="43"/>
      <c r="AO62" s="43">
        <v>5</v>
      </c>
      <c r="AP62" s="43">
        <v>4</v>
      </c>
      <c r="AQ62" s="43">
        <v>9</v>
      </c>
      <c r="AR62" s="43">
        <v>18</v>
      </c>
      <c r="AS62" s="43">
        <v>9</v>
      </c>
      <c r="AT62" s="43">
        <v>16</v>
      </c>
      <c r="AU62" s="43">
        <v>10</v>
      </c>
      <c r="AV62" s="43">
        <v>18</v>
      </c>
      <c r="AW62" s="1">
        <v>11</v>
      </c>
      <c r="AX62" s="6">
        <v>19</v>
      </c>
      <c r="AY62" s="1">
        <v>20</v>
      </c>
      <c r="AZ62" s="1">
        <v>17</v>
      </c>
      <c r="BA62" s="1">
        <v>14</v>
      </c>
      <c r="BB62" s="1">
        <v>17</v>
      </c>
      <c r="BC62" s="1">
        <v>5</v>
      </c>
      <c r="BD62" s="1">
        <v>12</v>
      </c>
      <c r="BE62" s="1">
        <v>20</v>
      </c>
    </row>
    <row r="63" spans="1:57" ht="12.75" customHeight="1">
      <c r="A63" s="45" t="s">
        <v>130</v>
      </c>
      <c r="B63" s="64">
        <v>10</v>
      </c>
      <c r="C63" s="44"/>
      <c r="D63" s="44"/>
      <c r="E63" s="44">
        <v>9</v>
      </c>
      <c r="F63" s="44">
        <v>13</v>
      </c>
      <c r="G63" s="44">
        <v>11</v>
      </c>
      <c r="H63" s="44">
        <v>7</v>
      </c>
      <c r="I63" s="44">
        <v>8</v>
      </c>
      <c r="J63" s="44">
        <v>7</v>
      </c>
      <c r="K63" s="44">
        <v>9</v>
      </c>
      <c r="L63" s="44">
        <v>12</v>
      </c>
      <c r="M63" s="44">
        <v>16</v>
      </c>
      <c r="N63" s="44">
        <v>23</v>
      </c>
      <c r="O63" s="44">
        <v>13</v>
      </c>
      <c r="P63" s="44">
        <v>14</v>
      </c>
      <c r="Q63" s="44">
        <v>21</v>
      </c>
      <c r="R63" s="44">
        <v>17</v>
      </c>
      <c r="S63" s="44">
        <v>16</v>
      </c>
      <c r="T63" s="44">
        <v>11</v>
      </c>
      <c r="U63" s="44">
        <v>16</v>
      </c>
      <c r="V63" s="44">
        <v>18</v>
      </c>
      <c r="W63" s="44">
        <v>28</v>
      </c>
      <c r="X63" s="44">
        <v>15</v>
      </c>
      <c r="Y63" s="44">
        <v>29</v>
      </c>
      <c r="Z63" s="44">
        <v>18</v>
      </c>
      <c r="AA63" s="44">
        <v>36</v>
      </c>
      <c r="AB63" s="44">
        <v>32</v>
      </c>
      <c r="AC63" s="44">
        <v>27</v>
      </c>
      <c r="AD63" s="64">
        <v>76</v>
      </c>
      <c r="AE63" s="44"/>
      <c r="AF63" s="44">
        <v>120</v>
      </c>
      <c r="AG63" s="44">
        <v>166</v>
      </c>
      <c r="AH63" s="44">
        <v>141</v>
      </c>
      <c r="AI63" s="44">
        <v>121</v>
      </c>
      <c r="AJ63" s="44">
        <v>130</v>
      </c>
      <c r="AK63" s="44">
        <v>130</v>
      </c>
      <c r="AL63" s="44">
        <v>123</v>
      </c>
      <c r="AM63" s="44">
        <v>176</v>
      </c>
      <c r="AN63" s="44"/>
      <c r="AO63" s="44">
        <v>125</v>
      </c>
      <c r="AP63" s="44">
        <v>135</v>
      </c>
      <c r="AQ63" s="44">
        <v>153</v>
      </c>
      <c r="AR63" s="44">
        <v>134</v>
      </c>
      <c r="AS63" s="44">
        <v>166</v>
      </c>
      <c r="AT63" s="44">
        <v>152</v>
      </c>
      <c r="AU63" s="44">
        <v>111</v>
      </c>
      <c r="AV63" s="44">
        <v>120</v>
      </c>
      <c r="AW63" s="44">
        <v>141</v>
      </c>
      <c r="AX63" s="97">
        <v>131</v>
      </c>
      <c r="AY63" s="97">
        <v>114</v>
      </c>
      <c r="AZ63" s="97">
        <v>134</v>
      </c>
      <c r="BA63" s="97">
        <v>116</v>
      </c>
      <c r="BB63" s="44">
        <v>120</v>
      </c>
      <c r="BC63" s="44">
        <v>163</v>
      </c>
      <c r="BD63" s="44">
        <v>166</v>
      </c>
      <c r="BE63" s="44">
        <v>175</v>
      </c>
    </row>
    <row r="64" spans="1:57" ht="12.75" customHeight="1">
      <c r="Z64" s="3"/>
      <c r="AA64" s="3"/>
      <c r="AB64" s="3"/>
      <c r="AC64" s="3"/>
      <c r="BB64" s="3"/>
      <c r="BC64" s="3"/>
      <c r="BD64" s="3"/>
      <c r="BE64" s="3"/>
    </row>
    <row r="65" spans="2:57" ht="12.75" customHeight="1">
      <c r="B65" s="1" t="s">
        <v>101</v>
      </c>
      <c r="E65" s="1" t="s">
        <v>101</v>
      </c>
      <c r="F65" s="1" t="s">
        <v>101</v>
      </c>
      <c r="G65" s="1" t="s">
        <v>101</v>
      </c>
      <c r="H65" s="1" t="s">
        <v>101</v>
      </c>
      <c r="I65" s="1" t="s">
        <v>101</v>
      </c>
      <c r="J65" s="1" t="s">
        <v>101</v>
      </c>
      <c r="K65" s="1" t="s">
        <v>101</v>
      </c>
      <c r="L65" s="1" t="s">
        <v>101</v>
      </c>
      <c r="M65" s="1" t="s">
        <v>73</v>
      </c>
      <c r="S65" s="3" t="s">
        <v>73</v>
      </c>
      <c r="T65" s="3"/>
      <c r="U65" s="3"/>
      <c r="V65" s="3"/>
      <c r="W65" s="3"/>
      <c r="X65" s="3"/>
      <c r="Y65" s="3"/>
      <c r="Z65" s="3"/>
      <c r="AA65" s="3"/>
      <c r="AB65" s="3"/>
      <c r="AC65" s="3" t="s">
        <v>73</v>
      </c>
      <c r="AD65" s="1" t="s">
        <v>101</v>
      </c>
      <c r="AF65" s="1" t="s">
        <v>101</v>
      </c>
      <c r="AG65" s="1" t="s">
        <v>101</v>
      </c>
      <c r="AH65" s="1" t="s">
        <v>101</v>
      </c>
      <c r="AI65" s="1" t="s">
        <v>101</v>
      </c>
      <c r="AJ65" s="1" t="s">
        <v>101</v>
      </c>
      <c r="AK65" s="1" t="s">
        <v>101</v>
      </c>
      <c r="AL65" s="1" t="s">
        <v>101</v>
      </c>
      <c r="AM65" s="1" t="s">
        <v>101</v>
      </c>
      <c r="AO65" s="1" t="s">
        <v>73</v>
      </c>
      <c r="AU65" s="3" t="s">
        <v>73</v>
      </c>
      <c r="AV65" s="3"/>
      <c r="AX65" s="3" t="s">
        <v>73</v>
      </c>
      <c r="AY65" s="3"/>
      <c r="AZ65" s="3"/>
      <c r="BA65" s="3"/>
      <c r="BB65" s="3"/>
      <c r="BC65" s="3"/>
      <c r="BD65" s="3"/>
      <c r="BE65" s="3" t="s">
        <v>73</v>
      </c>
    </row>
    <row r="66" spans="2:57" ht="12.75" customHeight="1">
      <c r="B66" s="1" t="s">
        <v>31</v>
      </c>
      <c r="E66" s="1" t="s">
        <v>31</v>
      </c>
      <c r="F66" s="1" t="s">
        <v>31</v>
      </c>
      <c r="G66" s="1" t="s">
        <v>31</v>
      </c>
      <c r="H66" s="1" t="s">
        <v>31</v>
      </c>
      <c r="I66" s="1" t="s">
        <v>31</v>
      </c>
      <c r="J66" s="1" t="s">
        <v>31</v>
      </c>
      <c r="K66" s="1" t="s">
        <v>31</v>
      </c>
      <c r="L66" s="1" t="s">
        <v>31</v>
      </c>
      <c r="M66" s="1" t="s">
        <v>168</v>
      </c>
      <c r="S66" s="1" t="s">
        <v>168</v>
      </c>
      <c r="Z66" s="3"/>
      <c r="AA66" s="3"/>
      <c r="AB66" s="3"/>
      <c r="AC66" s="1" t="s">
        <v>168</v>
      </c>
      <c r="AD66" s="1" t="s">
        <v>31</v>
      </c>
      <c r="AF66" s="1" t="s">
        <v>31</v>
      </c>
      <c r="AG66" s="1" t="s">
        <v>31</v>
      </c>
      <c r="AH66" s="1" t="s">
        <v>31</v>
      </c>
      <c r="AI66" s="1" t="s">
        <v>31</v>
      </c>
      <c r="AJ66" s="1" t="s">
        <v>31</v>
      </c>
      <c r="AK66" s="1" t="s">
        <v>31</v>
      </c>
      <c r="AL66" s="1" t="s">
        <v>31</v>
      </c>
      <c r="AM66" s="1" t="s">
        <v>31</v>
      </c>
      <c r="AO66" s="1" t="s">
        <v>168</v>
      </c>
      <c r="AU66" s="1" t="s">
        <v>168</v>
      </c>
      <c r="AX66" s="1" t="s">
        <v>168</v>
      </c>
      <c r="BB66" s="3"/>
      <c r="BC66" s="3"/>
      <c r="BD66" s="3"/>
      <c r="BE66" s="1" t="s">
        <v>168</v>
      </c>
    </row>
    <row r="67" spans="2:57" ht="12.75" customHeight="1">
      <c r="B67" s="1" t="s">
        <v>33</v>
      </c>
      <c r="E67" s="1" t="s">
        <v>33</v>
      </c>
      <c r="F67" s="1" t="s">
        <v>33</v>
      </c>
      <c r="G67" s="1" t="s">
        <v>33</v>
      </c>
      <c r="H67" s="1" t="s">
        <v>33</v>
      </c>
      <c r="I67" s="1" t="s">
        <v>33</v>
      </c>
      <c r="J67" s="1" t="s">
        <v>33</v>
      </c>
      <c r="K67" s="1" t="s">
        <v>33</v>
      </c>
      <c r="L67" s="1" t="s">
        <v>33</v>
      </c>
      <c r="M67" s="1" t="s">
        <v>169</v>
      </c>
      <c r="S67" s="1" t="s">
        <v>169</v>
      </c>
      <c r="Z67" s="3"/>
      <c r="AA67" s="3"/>
      <c r="AB67" s="3"/>
      <c r="AC67" s="1" t="s">
        <v>169</v>
      </c>
      <c r="AD67" s="1" t="s">
        <v>33</v>
      </c>
      <c r="AF67" s="1" t="s">
        <v>33</v>
      </c>
      <c r="AG67" s="1" t="s">
        <v>33</v>
      </c>
      <c r="AH67" s="1" t="s">
        <v>33</v>
      </c>
      <c r="AI67" s="1" t="s">
        <v>33</v>
      </c>
      <c r="AJ67" s="1" t="s">
        <v>33</v>
      </c>
      <c r="AK67" s="1" t="s">
        <v>33</v>
      </c>
      <c r="AL67" s="1" t="s">
        <v>33</v>
      </c>
      <c r="AM67" s="1" t="s">
        <v>33</v>
      </c>
      <c r="AO67" s="1" t="s">
        <v>169</v>
      </c>
      <c r="AU67" s="1" t="s">
        <v>169</v>
      </c>
      <c r="AX67" s="1" t="s">
        <v>169</v>
      </c>
      <c r="BB67" s="3"/>
      <c r="BC67" s="3"/>
      <c r="BD67" s="3"/>
      <c r="BE67" s="1" t="s">
        <v>169</v>
      </c>
    </row>
    <row r="68" spans="2:57" ht="12.75" customHeight="1">
      <c r="B68" s="1" t="s">
        <v>102</v>
      </c>
      <c r="E68" s="1" t="s">
        <v>102</v>
      </c>
      <c r="F68" s="1" t="s">
        <v>102</v>
      </c>
      <c r="G68" s="1" t="s">
        <v>102</v>
      </c>
      <c r="H68" s="1" t="s">
        <v>102</v>
      </c>
      <c r="I68" s="1" t="s">
        <v>102</v>
      </c>
      <c r="J68" s="1" t="s">
        <v>102</v>
      </c>
      <c r="K68" s="1" t="s">
        <v>102</v>
      </c>
      <c r="L68" s="1" t="s">
        <v>102</v>
      </c>
      <c r="M68" s="1" t="s">
        <v>37</v>
      </c>
      <c r="S68" s="1" t="s">
        <v>170</v>
      </c>
      <c r="Z68" s="3"/>
      <c r="AA68" s="3"/>
      <c r="AB68" s="3"/>
      <c r="AC68" s="1" t="s">
        <v>170</v>
      </c>
      <c r="AD68" s="1" t="s">
        <v>102</v>
      </c>
      <c r="AF68" s="1" t="s">
        <v>102</v>
      </c>
      <c r="AG68" s="1" t="s">
        <v>102</v>
      </c>
      <c r="AH68" s="1" t="s">
        <v>102</v>
      </c>
      <c r="AI68" s="1" t="s">
        <v>102</v>
      </c>
      <c r="AJ68" s="1" t="s">
        <v>102</v>
      </c>
      <c r="AK68" s="1" t="s">
        <v>102</v>
      </c>
      <c r="AL68" s="1" t="s">
        <v>102</v>
      </c>
      <c r="AM68" s="1" t="s">
        <v>102</v>
      </c>
      <c r="AO68" s="1" t="s">
        <v>37</v>
      </c>
      <c r="AU68" s="1" t="s">
        <v>170</v>
      </c>
      <c r="AX68" s="1" t="s">
        <v>170</v>
      </c>
      <c r="BB68" s="3"/>
      <c r="BC68" s="3"/>
      <c r="BD68" s="3"/>
      <c r="BE68" s="1" t="s">
        <v>170</v>
      </c>
    </row>
    <row r="69" spans="2:57" ht="12.75" customHeight="1">
      <c r="B69" s="1" t="s">
        <v>51</v>
      </c>
      <c r="E69" s="1" t="s">
        <v>51</v>
      </c>
      <c r="F69" s="1" t="s">
        <v>51</v>
      </c>
      <c r="G69" s="1" t="s">
        <v>51</v>
      </c>
      <c r="H69" s="1" t="s">
        <v>51</v>
      </c>
      <c r="I69" s="1" t="s">
        <v>51</v>
      </c>
      <c r="J69" s="1" t="s">
        <v>51</v>
      </c>
      <c r="K69" s="1" t="s">
        <v>51</v>
      </c>
      <c r="L69" s="1" t="s">
        <v>51</v>
      </c>
      <c r="M69" s="1" t="s">
        <v>39</v>
      </c>
      <c r="S69" s="1" t="s">
        <v>39</v>
      </c>
      <c r="Z69" s="3"/>
      <c r="AA69" s="3"/>
      <c r="AB69" s="3"/>
      <c r="AC69" s="1" t="s">
        <v>39</v>
      </c>
      <c r="AD69" s="1" t="s">
        <v>51</v>
      </c>
      <c r="AF69" s="1" t="s">
        <v>51</v>
      </c>
      <c r="AG69" s="1" t="s">
        <v>51</v>
      </c>
      <c r="AH69" s="1" t="s">
        <v>51</v>
      </c>
      <c r="AI69" s="1" t="s">
        <v>51</v>
      </c>
      <c r="AJ69" s="1" t="s">
        <v>51</v>
      </c>
      <c r="AK69" s="1" t="s">
        <v>51</v>
      </c>
      <c r="AL69" s="1" t="s">
        <v>51</v>
      </c>
      <c r="AM69" s="1" t="s">
        <v>51</v>
      </c>
      <c r="AO69" s="1" t="s">
        <v>39</v>
      </c>
      <c r="AU69" s="1" t="s">
        <v>39</v>
      </c>
      <c r="AX69" s="1" t="s">
        <v>39</v>
      </c>
      <c r="BB69" s="3"/>
      <c r="BC69" s="3"/>
      <c r="BD69" s="3"/>
      <c r="BE69" s="1" t="s">
        <v>39</v>
      </c>
    </row>
    <row r="70" spans="2:57" ht="12.75" customHeight="1">
      <c r="B70" s="1" t="s">
        <v>103</v>
      </c>
      <c r="E70" s="1" t="s">
        <v>103</v>
      </c>
      <c r="F70" s="1" t="s">
        <v>103</v>
      </c>
      <c r="G70" s="1" t="s">
        <v>103</v>
      </c>
      <c r="H70" s="1" t="s">
        <v>103</v>
      </c>
      <c r="I70" s="1" t="s">
        <v>103</v>
      </c>
      <c r="J70" s="1" t="s">
        <v>103</v>
      </c>
      <c r="K70" s="1" t="s">
        <v>103</v>
      </c>
      <c r="L70" s="1" t="s">
        <v>103</v>
      </c>
      <c r="M70" s="1" t="s">
        <v>171</v>
      </c>
      <c r="S70" s="1" t="s">
        <v>171</v>
      </c>
      <c r="Z70" s="3"/>
      <c r="AA70" s="3"/>
      <c r="AB70" s="3"/>
      <c r="AC70" s="1" t="s">
        <v>171</v>
      </c>
      <c r="AD70" s="1" t="s">
        <v>103</v>
      </c>
      <c r="AF70" s="1" t="s">
        <v>103</v>
      </c>
      <c r="AG70" s="1" t="s">
        <v>103</v>
      </c>
      <c r="AH70" s="1" t="s">
        <v>103</v>
      </c>
      <c r="AI70" s="1" t="s">
        <v>103</v>
      </c>
      <c r="AJ70" s="1" t="s">
        <v>103</v>
      </c>
      <c r="AK70" s="1" t="s">
        <v>103</v>
      </c>
      <c r="AL70" s="1" t="s">
        <v>103</v>
      </c>
      <c r="AM70" s="1" t="s">
        <v>103</v>
      </c>
      <c r="AO70" s="1" t="s">
        <v>171</v>
      </c>
      <c r="AU70" s="1" t="s">
        <v>171</v>
      </c>
      <c r="AX70" s="1" t="s">
        <v>171</v>
      </c>
      <c r="BB70" s="3"/>
      <c r="BC70" s="3"/>
      <c r="BD70" s="3"/>
      <c r="BE70" s="1" t="s">
        <v>171</v>
      </c>
    </row>
    <row r="71" spans="2:57" ht="12.75" customHeight="1">
      <c r="B71" s="1" t="s">
        <v>104</v>
      </c>
      <c r="E71" s="1" t="s">
        <v>104</v>
      </c>
      <c r="F71" s="1" t="s">
        <v>104</v>
      </c>
      <c r="G71" s="1" t="s">
        <v>104</v>
      </c>
      <c r="H71" s="1" t="s">
        <v>104</v>
      </c>
      <c r="I71" s="1" t="s">
        <v>104</v>
      </c>
      <c r="J71" s="1" t="s">
        <v>104</v>
      </c>
      <c r="K71" s="1" t="s">
        <v>104</v>
      </c>
      <c r="L71" s="1" t="s">
        <v>104</v>
      </c>
      <c r="M71" s="1" t="s">
        <v>172</v>
      </c>
      <c r="S71" s="1" t="s">
        <v>214</v>
      </c>
      <c r="Z71" s="3"/>
      <c r="AA71" s="3"/>
      <c r="AB71" s="3"/>
      <c r="AC71" s="1" t="s">
        <v>214</v>
      </c>
      <c r="AD71" s="1" t="s">
        <v>104</v>
      </c>
      <c r="AF71" s="1" t="s">
        <v>104</v>
      </c>
      <c r="AG71" s="1" t="s">
        <v>104</v>
      </c>
      <c r="AH71" s="1" t="s">
        <v>104</v>
      </c>
      <c r="AI71" s="1" t="s">
        <v>104</v>
      </c>
      <c r="AJ71" s="1" t="s">
        <v>104</v>
      </c>
      <c r="AK71" s="1" t="s">
        <v>104</v>
      </c>
      <c r="AL71" s="1" t="s">
        <v>104</v>
      </c>
      <c r="AM71" s="1" t="s">
        <v>104</v>
      </c>
      <c r="AO71" s="1" t="s">
        <v>172</v>
      </c>
      <c r="AU71" s="1" t="s">
        <v>214</v>
      </c>
      <c r="AX71" s="1" t="s">
        <v>214</v>
      </c>
      <c r="BB71" s="3"/>
      <c r="BC71" s="3"/>
      <c r="BD71" s="3"/>
      <c r="BE71" s="1" t="s">
        <v>214</v>
      </c>
    </row>
    <row r="72" spans="2:57" ht="12.75" customHeight="1">
      <c r="B72" s="1" t="s">
        <v>10</v>
      </c>
      <c r="E72" s="1" t="s">
        <v>13</v>
      </c>
      <c r="F72" s="1" t="s">
        <v>65</v>
      </c>
      <c r="G72" s="1" t="s">
        <v>14</v>
      </c>
      <c r="H72" s="1" t="s">
        <v>66</v>
      </c>
      <c r="I72" s="1" t="s">
        <v>48</v>
      </c>
      <c r="J72" s="1" t="s">
        <v>77</v>
      </c>
      <c r="K72" s="1" t="s">
        <v>123</v>
      </c>
      <c r="L72" s="1" t="s">
        <v>160</v>
      </c>
      <c r="M72" s="1" t="s">
        <v>173</v>
      </c>
      <c r="S72" s="1" t="s">
        <v>215</v>
      </c>
      <c r="Z72" s="3"/>
      <c r="AA72" s="3"/>
      <c r="AB72" s="3"/>
      <c r="AC72" s="1" t="s">
        <v>215</v>
      </c>
      <c r="AD72" s="1" t="s">
        <v>10</v>
      </c>
      <c r="AF72" s="1" t="s">
        <v>13</v>
      </c>
      <c r="AG72" s="1" t="s">
        <v>65</v>
      </c>
      <c r="AH72" s="1" t="s">
        <v>14</v>
      </c>
      <c r="AI72" s="1" t="s">
        <v>66</v>
      </c>
      <c r="AJ72" s="1" t="s">
        <v>48</v>
      </c>
      <c r="AK72" s="1" t="s">
        <v>77</v>
      </c>
      <c r="AL72" s="1" t="s">
        <v>123</v>
      </c>
      <c r="AM72" s="1" t="s">
        <v>160</v>
      </c>
      <c r="AO72" s="1" t="s">
        <v>173</v>
      </c>
      <c r="AU72" s="1" t="s">
        <v>215</v>
      </c>
      <c r="AX72" s="1" t="s">
        <v>215</v>
      </c>
      <c r="BB72" s="3"/>
      <c r="BC72" s="3"/>
      <c r="BD72" s="3"/>
      <c r="BE72" s="1" t="s">
        <v>215</v>
      </c>
    </row>
    <row r="73" spans="2:57" ht="12.75" customHeight="1">
      <c r="M73" s="1" t="s">
        <v>174</v>
      </c>
      <c r="S73" s="1" t="s">
        <v>216</v>
      </c>
      <c r="Z73" s="3"/>
      <c r="AA73" s="3"/>
      <c r="AB73" s="3"/>
      <c r="AC73" s="1" t="s">
        <v>216</v>
      </c>
      <c r="AO73" s="1" t="s">
        <v>174</v>
      </c>
      <c r="AU73" s="1" t="s">
        <v>216</v>
      </c>
      <c r="AX73" s="1" t="s">
        <v>216</v>
      </c>
      <c r="BB73" s="3"/>
      <c r="BC73" s="3"/>
      <c r="BD73" s="3"/>
      <c r="BE73" s="1" t="s">
        <v>216</v>
      </c>
    </row>
    <row r="74" spans="2:57" ht="12.75" customHeight="1">
      <c r="M74" s="1" t="s">
        <v>175</v>
      </c>
      <c r="S74" s="1" t="s">
        <v>217</v>
      </c>
      <c r="Z74" s="3"/>
      <c r="AA74" s="3"/>
      <c r="AB74" s="3"/>
      <c r="AC74" s="1" t="s">
        <v>237</v>
      </c>
      <c r="AO74" s="1" t="s">
        <v>175</v>
      </c>
      <c r="AU74" s="1" t="s">
        <v>217</v>
      </c>
      <c r="AX74" s="1" t="s">
        <v>225</v>
      </c>
      <c r="BB74" s="3"/>
      <c r="BC74" s="3"/>
      <c r="BD74" s="3"/>
      <c r="BE74" s="1" t="s">
        <v>237</v>
      </c>
    </row>
    <row r="75" spans="2:57" ht="12.75" customHeight="1">
      <c r="M75" s="1" t="s">
        <v>176</v>
      </c>
      <c r="S75" s="1" t="s">
        <v>176</v>
      </c>
      <c r="Z75" s="3"/>
      <c r="AA75" s="3"/>
      <c r="AB75" s="3"/>
      <c r="AC75" s="1" t="s">
        <v>176</v>
      </c>
      <c r="AO75" s="1" t="s">
        <v>176</v>
      </c>
      <c r="AU75" s="1" t="s">
        <v>176</v>
      </c>
      <c r="AX75" s="1" t="s">
        <v>176</v>
      </c>
      <c r="BB75" s="3"/>
      <c r="BC75" s="3"/>
      <c r="BD75" s="3"/>
      <c r="BE75" s="1" t="s">
        <v>176</v>
      </c>
    </row>
    <row r="76" spans="2:57" ht="12.75" customHeight="1">
      <c r="Z76" s="3"/>
      <c r="AA76" s="3"/>
      <c r="AB76" s="3"/>
      <c r="AC76" s="3"/>
      <c r="BB76" s="3"/>
      <c r="BC76" s="3"/>
      <c r="BD76" s="3"/>
      <c r="BE76" s="3"/>
    </row>
    <row r="77" spans="2:57" ht="12.75" customHeight="1">
      <c r="Z77" s="3"/>
      <c r="AA77" s="3"/>
      <c r="AB77" s="3"/>
      <c r="AC77" s="3"/>
      <c r="BB77" s="3"/>
      <c r="BC77" s="3"/>
      <c r="BD77" s="3"/>
      <c r="BE77" s="3"/>
    </row>
    <row r="78" spans="2:57" ht="12.75" customHeight="1">
      <c r="Z78" s="3"/>
      <c r="AA78" s="3"/>
      <c r="AB78" s="3"/>
      <c r="AC78" s="3"/>
      <c r="BB78" s="3"/>
      <c r="BC78" s="3"/>
      <c r="BD78" s="3"/>
      <c r="BE78" s="3"/>
    </row>
    <row r="79" spans="2:57" ht="12.75" customHeight="1">
      <c r="Z79" s="3"/>
      <c r="AA79" s="3"/>
      <c r="AB79" s="3"/>
      <c r="AC79" s="3"/>
      <c r="BB79" s="3"/>
      <c r="BC79" s="3"/>
      <c r="BD79" s="3"/>
      <c r="BE79" s="3"/>
    </row>
    <row r="80" spans="2:57" ht="12.75" customHeight="1">
      <c r="Z80" s="3"/>
      <c r="AA80" s="3"/>
      <c r="AB80" s="3"/>
      <c r="AC80" s="3"/>
      <c r="BB80" s="3"/>
      <c r="BC80" s="3"/>
      <c r="BD80" s="3"/>
      <c r="BE80" s="3"/>
    </row>
    <row r="81" spans="26:57" ht="12.75" customHeight="1">
      <c r="Z81" s="3"/>
      <c r="AA81" s="3"/>
      <c r="AB81" s="3"/>
      <c r="AC81" s="3"/>
      <c r="BB81" s="3"/>
      <c r="BC81" s="3"/>
      <c r="BD81" s="3"/>
      <c r="BE81" s="3"/>
    </row>
    <row r="82" spans="26:57" ht="12.75" customHeight="1">
      <c r="Z82" s="3"/>
      <c r="AA82" s="3"/>
      <c r="AB82" s="3"/>
      <c r="AC82" s="3"/>
      <c r="BB82" s="3"/>
      <c r="BC82" s="3"/>
      <c r="BD82" s="3"/>
      <c r="BE82" s="3"/>
    </row>
    <row r="83" spans="26:57" ht="12.75" customHeight="1">
      <c r="Z83" s="3"/>
      <c r="AA83" s="3"/>
      <c r="AB83" s="3"/>
      <c r="AC83" s="3"/>
      <c r="BB83" s="3"/>
      <c r="BC83" s="3"/>
      <c r="BD83" s="3"/>
      <c r="BE83" s="3"/>
    </row>
    <row r="84" spans="26:57" ht="12.75" customHeight="1">
      <c r="Z84" s="3"/>
      <c r="AA84" s="3"/>
      <c r="AB84" s="3"/>
      <c r="AC84" s="3"/>
      <c r="BB84" s="3"/>
      <c r="BC84" s="3"/>
      <c r="BD84" s="3"/>
      <c r="BE84" s="3"/>
    </row>
    <row r="85" spans="26:57" ht="12.75" customHeight="1"/>
    <row r="86" spans="26:57" ht="12.75" customHeight="1"/>
    <row r="87" spans="26:57" ht="12.75" customHeight="1"/>
    <row r="88" spans="26:57" ht="12.75" customHeight="1"/>
    <row r="89" spans="26:57" ht="12.75" customHeight="1"/>
    <row r="90" spans="26:57" ht="12.75" customHeight="1"/>
    <row r="91" spans="26:57" ht="12.75" customHeight="1"/>
    <row r="92" spans="26:57" ht="12.75" customHeight="1"/>
  </sheetData>
  <phoneticPr fontId="8" type="noConversion"/>
  <hyperlinks>
    <hyperlink ref="AU75" r:id="rId1" display="www.nces.ed.gov" xr:uid="{00000000-0004-0000-0600-000000000000}"/>
    <hyperlink ref="S75" r:id="rId2" display="www.nces.ed.gov" xr:uid="{00000000-0004-0000-0600-000001000000}"/>
    <hyperlink ref="AX75" r:id="rId3" display="www.nces.ed.gov" xr:uid="{00000000-0004-0000-0600-000002000000}"/>
    <hyperlink ref="AC75" r:id="rId4" display="www.nces.ed.gov" xr:uid="{51B2DF4D-86FD-4CBE-8C83-97442607BE6F}"/>
    <hyperlink ref="BE75" r:id="rId5" display="www.nces.ed.gov" xr:uid="{1B6E3AEF-8E96-4445-A707-796B9CB1897B}"/>
  </hyperlinks>
  <pageMargins left="0.75" right="0.75" top="1" bottom="1" header="0.5" footer="0.5"/>
  <pageSetup orientation="portrait" r:id="rId6"/>
  <headerFooter alignWithMargins="0"/>
  <legacyDrawing r:id="rId7"/>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17"/>
  </sheetPr>
  <dimension ref="A1:AY62"/>
  <sheetViews>
    <sheetView zoomScaleNormal="100" workbookViewId="0">
      <pane xSplit="1" ySplit="2" topLeftCell="B3" activePane="bottomRight" state="frozen"/>
      <selection pane="topRight" activeCell="B1" sqref="B1"/>
      <selection pane="bottomLeft" activeCell="A2" sqref="A2"/>
      <selection pane="bottomRight"/>
    </sheetView>
  </sheetViews>
  <sheetFormatPr defaultColWidth="9.1796875" defaultRowHeight="12.5"/>
  <cols>
    <col min="1" max="1" width="15.81640625" style="1" customWidth="1"/>
    <col min="2" max="43" width="7.54296875" style="79" bestFit="1" customWidth="1"/>
    <col min="44" max="16384" width="9.1796875" style="1"/>
  </cols>
  <sheetData>
    <row r="1" spans="1:51" s="131" customFormat="1" ht="13">
      <c r="A1" s="139" t="s">
        <v>241</v>
      </c>
    </row>
    <row r="2" spans="1:51">
      <c r="A2" s="6"/>
      <c r="B2" s="78" t="s">
        <v>53</v>
      </c>
      <c r="C2" s="78" t="s">
        <v>3</v>
      </c>
      <c r="D2" s="78" t="s">
        <v>54</v>
      </c>
      <c r="E2" s="78" t="s">
        <v>4</v>
      </c>
      <c r="F2" s="78" t="s">
        <v>55</v>
      </c>
      <c r="G2" s="78" t="s">
        <v>5</v>
      </c>
      <c r="H2" s="78" t="s">
        <v>56</v>
      </c>
      <c r="I2" s="78" t="s">
        <v>6</v>
      </c>
      <c r="J2" s="78" t="s">
        <v>57</v>
      </c>
      <c r="K2" s="78" t="s">
        <v>7</v>
      </c>
      <c r="L2" s="78" t="s">
        <v>58</v>
      </c>
      <c r="M2" s="78" t="s">
        <v>8</v>
      </c>
      <c r="N2" s="78" t="s">
        <v>9</v>
      </c>
      <c r="O2" s="78" t="s">
        <v>59</v>
      </c>
      <c r="P2" s="78" t="s">
        <v>60</v>
      </c>
      <c r="Q2" s="78" t="s">
        <v>61</v>
      </c>
      <c r="R2" s="78" t="s">
        <v>62</v>
      </c>
      <c r="S2" s="78" t="s">
        <v>10</v>
      </c>
      <c r="T2" s="78" t="s">
        <v>63</v>
      </c>
      <c r="U2" s="78" t="s">
        <v>11</v>
      </c>
      <c r="V2" s="78" t="s">
        <v>12</v>
      </c>
      <c r="W2" s="78" t="s">
        <v>64</v>
      </c>
      <c r="X2" s="78" t="s">
        <v>13</v>
      </c>
      <c r="Y2" s="78" t="s">
        <v>65</v>
      </c>
      <c r="Z2" s="78" t="s">
        <v>14</v>
      </c>
      <c r="AA2" s="78" t="s">
        <v>66</v>
      </c>
      <c r="AB2" s="78" t="s">
        <v>48</v>
      </c>
      <c r="AC2" s="78" t="s">
        <v>77</v>
      </c>
      <c r="AD2" s="78" t="s">
        <v>123</v>
      </c>
      <c r="AE2" s="78" t="s">
        <v>159</v>
      </c>
      <c r="AF2" s="78" t="s">
        <v>160</v>
      </c>
      <c r="AG2" s="78" t="s">
        <v>182</v>
      </c>
      <c r="AH2" s="78" t="s">
        <v>183</v>
      </c>
      <c r="AI2" s="78" t="s">
        <v>167</v>
      </c>
      <c r="AJ2" s="78" t="s">
        <v>178</v>
      </c>
      <c r="AK2" s="78" t="s">
        <v>179</v>
      </c>
      <c r="AL2" s="78" t="s">
        <v>181</v>
      </c>
      <c r="AM2" s="78" t="s">
        <v>192</v>
      </c>
      <c r="AN2" s="78" t="s">
        <v>205</v>
      </c>
      <c r="AO2" s="78" t="s">
        <v>207</v>
      </c>
      <c r="AP2" s="78" t="s">
        <v>222</v>
      </c>
      <c r="AQ2" s="78" t="s">
        <v>223</v>
      </c>
      <c r="AR2" s="79" t="s">
        <v>224</v>
      </c>
      <c r="AS2" s="79" t="s">
        <v>226</v>
      </c>
      <c r="AT2" s="79" t="s">
        <v>228</v>
      </c>
      <c r="AU2" s="79" t="s">
        <v>229</v>
      </c>
      <c r="AV2" s="79" t="s">
        <v>231</v>
      </c>
      <c r="AW2" s="79" t="s">
        <v>232</v>
      </c>
      <c r="AX2" s="79" t="s">
        <v>235</v>
      </c>
      <c r="AY2" s="79" t="s">
        <v>236</v>
      </c>
    </row>
    <row r="3" spans="1:51">
      <c r="A3" s="35" t="s">
        <v>208</v>
      </c>
      <c r="B3" s="107">
        <f>(Gender!AZ4/'Total Doctorates'!C4)*100</f>
        <v>13.31814832183292</v>
      </c>
      <c r="C3" s="107">
        <f>(Gender!BA4/'Total Doctorates'!D4)*100</f>
        <v>14.263899276988282</v>
      </c>
      <c r="D3" s="107">
        <f>(Gender!BB4/'Total Doctorates'!E4)*100</f>
        <v>15.810146318061886</v>
      </c>
      <c r="E3" s="107">
        <f>(Gender!BC4/'Total Doctorates'!F4)*100</f>
        <v>17.84974689369535</v>
      </c>
      <c r="F3" s="107">
        <f>(Gender!BD4/'Total Doctorates'!G4)*100</f>
        <v>19.086928220604772</v>
      </c>
      <c r="G3" s="107">
        <f>(Gender!BE4/'Total Doctorates'!H4)*100</f>
        <v>21.329184524158986</v>
      </c>
      <c r="H3" s="107">
        <f>(Gender!BF4/'Total Doctorates'!I4)*100</f>
        <v>22.908770383428823</v>
      </c>
      <c r="I3" s="107">
        <f>(Gender!BG4/'Total Doctorates'!J4)*100</f>
        <v>24.354998946322667</v>
      </c>
      <c r="J3" s="107">
        <f>(Gender!BH4/'Total Doctorates'!K4)*100</f>
        <v>26.377560550401597</v>
      </c>
      <c r="K3" s="107">
        <f>(Gender!BI4/'Total Doctorates'!L4)*100</f>
        <v>28.088033012379643</v>
      </c>
      <c r="L3" s="107">
        <f>(Gender!BJ4/'Total Doctorates'!M4)*100</f>
        <v>29.668711656441715</v>
      </c>
      <c r="M3" s="107">
        <f>(Gender!BK4/'Total Doctorates'!N4)*100</f>
        <v>31.102410004249375</v>
      </c>
      <c r="N3" s="107">
        <f>(Gender!BL4/'Total Doctorates'!O4)*100</f>
        <v>32.067910676047724</v>
      </c>
      <c r="O3" s="107">
        <f>(Gender!BM4/'Total Doctorates'!P4)*100</f>
        <v>33.17868262010866</v>
      </c>
      <c r="P3" s="107">
        <f>(Gender!BN4/'Total Doctorates'!Q4)*100</f>
        <v>33.571364006146617</v>
      </c>
      <c r="Q3" s="107">
        <f>(Gender!BO4/'Total Doctorates'!R4)*100</f>
        <v>34.133228030740256</v>
      </c>
      <c r="R3" s="107">
        <f>(Gender!BP4/'Total Doctorates'!S4)*100</f>
        <v>35.173787649035177</v>
      </c>
      <c r="S3" s="107">
        <f>(Gender!BQ4/'Total Doctorates'!T4)*100</f>
        <v>35.200047035305879</v>
      </c>
      <c r="T3" s="107">
        <f>(Gender!BR4/'Total Doctorates'!U4)*100</f>
        <v>35.150662108982274</v>
      </c>
      <c r="U3" s="107">
        <f>(Gender!BS4/'Total Doctorates'!V4)*100</f>
        <v>36.506071288679983</v>
      </c>
      <c r="V3" s="107">
        <f>(Gender!BT4/'Total Doctorates'!W4)*100</f>
        <v>36.414843403656086</v>
      </c>
      <c r="W3" s="107">
        <f>(Gender!BU4/'Total Doctorates'!X4)*100</f>
        <v>37.023454809381924</v>
      </c>
      <c r="X3" s="107">
        <f>(Gender!BV4/'Total Doctorates'!Y4)*100</f>
        <v>37.158604399389795</v>
      </c>
      <c r="Y3" s="107">
        <f>(Gender!BW4/'Total Doctorates'!Z4)*100</f>
        <v>38.124985154746916</v>
      </c>
      <c r="Z3" s="107">
        <f>(Gender!BX4/'Total Doctorates'!AA4)*100</f>
        <v>38.527325823946597</v>
      </c>
      <c r="AA3" s="107">
        <f>(Gender!BY4/'Total Doctorates'!AB4)*100</f>
        <v>39.459934237196521</v>
      </c>
      <c r="AB3" s="107">
        <f>(Gender!BZ4/'Total Doctorates'!AC4)*100</f>
        <v>39.929138449118717</v>
      </c>
      <c r="AC3" s="107">
        <f>(Gender!CA4/'Total Doctorates'!AD4)*100</f>
        <v>40.856531983593683</v>
      </c>
      <c r="AD3" s="107">
        <f>(Gender!CB4/'Total Doctorates'!AE4)*100</f>
        <v>42.047381004129534</v>
      </c>
      <c r="AE3" s="107">
        <f>(Gender!CC4/'Total Doctorates'!AF4)*100</f>
        <v>42.949837783878216</v>
      </c>
      <c r="AF3" s="107">
        <f>(Gender!CD4/'Total Doctorates'!AG4)*100</f>
        <v>44.143902874486699</v>
      </c>
      <c r="AG3" s="107">
        <f>(Gender!CE4/'Total Doctorates'!AH4)*100</f>
        <v>44.93140922857652</v>
      </c>
      <c r="AH3" s="107">
        <f>(Gender!CF4/'Total Doctorates'!AI4)*100</f>
        <v>46.313405797101446</v>
      </c>
      <c r="AI3" s="107">
        <f>(Gender!CG4/'Total Doctorates'!AJ4)*100</f>
        <v>47.111333130619869</v>
      </c>
      <c r="AJ3" s="107">
        <f>(Gender!CH4/'Total Doctorates'!AK4)*100</f>
        <v>47.666122060678759</v>
      </c>
      <c r="AK3" s="107">
        <f>(Gender!CI4/'Total Doctorates'!AL4)*100</f>
        <v>48.75073625809884</v>
      </c>
      <c r="AL3" s="107">
        <f>(Gender!CJ4/'Total Doctorates'!AM4)*100</f>
        <v>48.908508085456923</v>
      </c>
      <c r="AM3" s="107">
        <f>(Gender!CK4/'Total Doctorates'!AN4)*100</f>
        <v>50.094034578329151</v>
      </c>
      <c r="AN3" s="107">
        <f>(Gender!CL4/'Total Doctorates'!AO4)*100</f>
        <v>50.315511422002643</v>
      </c>
      <c r="AO3" s="107">
        <f>(Gender!CM4/'Total Doctorates'!AP4)*100</f>
        <v>50.520197333072822</v>
      </c>
      <c r="AP3" s="107">
        <f>(Gender!CN4/'Total Doctorates'!AQ4)*100</f>
        <v>49.390798963658007</v>
      </c>
      <c r="AQ3" s="107">
        <f>(Gender!CO4/'Total Doctorates'!AR4)*100</f>
        <v>48.924832837719372</v>
      </c>
      <c r="AR3" s="107">
        <f>(Gender!CP4/'Total Doctorates'!AS4)*100</f>
        <v>49.105063543815291</v>
      </c>
      <c r="AS3" s="107">
        <f>(Gender!CQ4/'Total Doctorates'!AT4)*100</f>
        <v>48.869272129042614</v>
      </c>
      <c r="AT3" s="107">
        <f>(Gender!CR4/'Total Doctorates'!AU4)*100</f>
        <v>49.156386912345027</v>
      </c>
      <c r="AU3" s="107">
        <f>(Gender!CS4/'Total Doctorates'!AV4)*100</f>
        <v>49.28999300635509</v>
      </c>
      <c r="AV3" s="107">
        <f>(Gender!CT4/'Total Doctorates'!AW4)*100</f>
        <v>49.171019069597961</v>
      </c>
      <c r="AW3" s="107">
        <f>(Gender!CU4/'Total Doctorates'!AX4)*100</f>
        <v>49.422993880012505</v>
      </c>
      <c r="AX3" s="107">
        <f>(Gender!CV4/'Total Doctorates'!AY4)*100</f>
        <v>49.543988676326812</v>
      </c>
      <c r="AY3" s="107">
        <f>(Gender!CW4/'Total Doctorates'!AZ4)*100</f>
        <v>49.669985938531291</v>
      </c>
    </row>
    <row r="4" spans="1:51">
      <c r="A4" s="37" t="s">
        <v>50</v>
      </c>
      <c r="B4" s="108">
        <f>(Gender!AZ5/'Total Doctorates'!C5)*100</f>
        <v>12.590639419907712</v>
      </c>
      <c r="C4" s="108">
        <f>(Gender!BA5/'Total Doctorates'!D5)*100</f>
        <v>13.948205361199456</v>
      </c>
      <c r="D4" s="108">
        <f>(Gender!BB5/'Total Doctorates'!E5)*100</f>
        <v>14.993682437175348</v>
      </c>
      <c r="E4" s="108">
        <f>(Gender!BC5/'Total Doctorates'!F5)*100</f>
        <v>18.101054969461412</v>
      </c>
      <c r="F4" s="108">
        <f>(Gender!BD5/'Total Doctorates'!G5)*100</f>
        <v>18.675190424374318</v>
      </c>
      <c r="G4" s="108">
        <f>(Gender!BE5/'Total Doctorates'!H5)*100</f>
        <v>21.179487179487179</v>
      </c>
      <c r="H4" s="108">
        <f>(Gender!BF5/'Total Doctorates'!I5)*100</f>
        <v>22.294670846394986</v>
      </c>
      <c r="I4" s="108">
        <f>(Gender!BG5/'Total Doctorates'!J5)*100</f>
        <v>24.438839848675915</v>
      </c>
      <c r="J4" s="108">
        <f>(Gender!BH5/'Total Doctorates'!K5)*100</f>
        <v>26.949896694214875</v>
      </c>
      <c r="K4" s="108">
        <f>(Gender!BI5/'Total Doctorates'!L5)*100</f>
        <v>28.339930727362695</v>
      </c>
      <c r="L4" s="108">
        <f>(Gender!BJ5/'Total Doctorates'!M5)*100</f>
        <v>29.85019190293426</v>
      </c>
      <c r="M4" s="108">
        <f>(Gender!BK5/'Total Doctorates'!N5)*100</f>
        <v>31.748039463698458</v>
      </c>
      <c r="N4" s="108">
        <f>(Gender!BL5/'Total Doctorates'!O5)*100</f>
        <v>33.955464023683874</v>
      </c>
      <c r="O4" s="108">
        <f>(Gender!BM5/'Total Doctorates'!P5)*100</f>
        <v>34.960059910134802</v>
      </c>
      <c r="P4" s="108">
        <f>(Gender!BN5/'Total Doctorates'!Q5)*100</f>
        <v>34.952170713760118</v>
      </c>
      <c r="Q4" s="108">
        <f>(Gender!BO5/'Total Doctorates'!R5)*100</f>
        <v>35.801863658656202</v>
      </c>
      <c r="R4" s="108">
        <f>(Gender!BP5/'Total Doctorates'!S5)*100</f>
        <v>35.809456432024525</v>
      </c>
      <c r="S4" s="108">
        <f>(Gender!BQ5/'Total Doctorates'!T5)*100</f>
        <v>36.785466327239064</v>
      </c>
      <c r="T4" s="108">
        <f>(Gender!BR5/'Total Doctorates'!U5)*100</f>
        <v>36.376811594202898</v>
      </c>
      <c r="U4" s="108">
        <f>(Gender!BS5/'Total Doctorates'!V5)*100</f>
        <v>38.752052545155998</v>
      </c>
      <c r="V4" s="108">
        <f>(Gender!BT5/'Total Doctorates'!W5)*100</f>
        <v>37.811244979919678</v>
      </c>
      <c r="W4" s="108">
        <f>(Gender!BU5/'Total Doctorates'!X5)*100</f>
        <v>38.518881804806277</v>
      </c>
      <c r="X4" s="108">
        <f>(Gender!BV5/'Total Doctorates'!Y5)*100</f>
        <v>38.002380298452806</v>
      </c>
      <c r="Y4" s="108">
        <f>(Gender!BW5/'Total Doctorates'!Z5)*100</f>
        <v>39.330177099772051</v>
      </c>
      <c r="Z4" s="108">
        <f>(Gender!BX5/'Total Doctorates'!AA5)*100</f>
        <v>39.897479709525847</v>
      </c>
      <c r="AA4" s="108">
        <f>(Gender!BY5/'Total Doctorates'!AB5)*100</f>
        <v>39.437207748830993</v>
      </c>
      <c r="AB4" s="108">
        <f>(Gender!BZ5/'Total Doctorates'!AC5)*100</f>
        <v>40.301758915604324</v>
      </c>
      <c r="AC4" s="108">
        <f>(Gender!CA5/'Total Doctorates'!AD5)*100</f>
        <v>41.918755401901471</v>
      </c>
      <c r="AD4" s="108">
        <f>(Gender!CB5/'Total Doctorates'!AE5)*100</f>
        <v>42.077780375652715</v>
      </c>
      <c r="AE4" s="108">
        <f>(Gender!CC5/'Total Doctorates'!AF5)*100</f>
        <v>43.177540777917187</v>
      </c>
      <c r="AF4" s="108">
        <f>(Gender!CD5/'Total Doctorates'!AG5)*100</f>
        <v>45.030131970402017</v>
      </c>
      <c r="AG4" s="108">
        <f>(Gender!CE5/'Total Doctorates'!AH5)*100</f>
        <v>45.739635918617104</v>
      </c>
      <c r="AH4" s="108">
        <f>(Gender!CF5/'Total Doctorates'!AI5)*100</f>
        <v>47.275349119611413</v>
      </c>
      <c r="AI4" s="108">
        <f>(Gender!CG5/'Total Doctorates'!AJ5)*100</f>
        <v>48.193572220169926</v>
      </c>
      <c r="AJ4" s="108">
        <f>(Gender!CH5/'Total Doctorates'!AK5)*100</f>
        <v>48.979028697571742</v>
      </c>
      <c r="AK4" s="108">
        <f>(Gender!CI5/'Total Doctorates'!AL5)*100</f>
        <v>48.986294448304172</v>
      </c>
      <c r="AL4" s="108">
        <f>(Gender!CJ5/'Total Doctorates'!AM5)*100</f>
        <v>49.050170482221141</v>
      </c>
      <c r="AM4" s="108">
        <f>(Gender!CK5/'Total Doctorates'!AN5)*100</f>
        <v>49.958666299255995</v>
      </c>
      <c r="AN4" s="108">
        <f>(Gender!CL5/'Total Doctorates'!AO5)*100</f>
        <v>51.082344094107533</v>
      </c>
      <c r="AO4" s="108">
        <f>(Gender!CM5/'Total Doctorates'!AP5)*100</f>
        <v>51.469028425965213</v>
      </c>
      <c r="AP4" s="108">
        <f>(Gender!CN5/'Total Doctorates'!AQ5)*100</f>
        <v>50.258980785296572</v>
      </c>
      <c r="AQ4" s="108">
        <f>(Gender!CO5/'Total Doctorates'!AR5)*100</f>
        <v>49.325185972369816</v>
      </c>
      <c r="AR4" s="108">
        <f>(Gender!CP5/'Total Doctorates'!AS5)*100</f>
        <v>50.278387904173258</v>
      </c>
      <c r="AS4" s="108">
        <f>(Gender!CQ5/'Total Doctorates'!AT5)*100</f>
        <v>49.762476125177528</v>
      </c>
      <c r="AT4" s="108">
        <f>(Gender!CR5/'Total Doctorates'!AU5)*100</f>
        <v>50.13952190493908</v>
      </c>
      <c r="AU4" s="108">
        <f>(Gender!CS5/'Total Doctorates'!AV5)*100</f>
        <v>50.532058797006044</v>
      </c>
      <c r="AV4" s="108">
        <f>(Gender!CT5/'Total Doctorates'!AW5)*100</f>
        <v>50.399246366409479</v>
      </c>
      <c r="AW4" s="108">
        <f>(Gender!CU5/'Total Doctorates'!AX5)*100</f>
        <v>51.25362442435614</v>
      </c>
      <c r="AX4" s="108">
        <f>(Gender!CV5/'Total Doctorates'!AY5)*100</f>
        <v>50.708621562341825</v>
      </c>
      <c r="AY4" s="108">
        <f>(Gender!CW5/'Total Doctorates'!AZ5)*100</f>
        <v>51.192262798065698</v>
      </c>
    </row>
    <row r="5" spans="1:51">
      <c r="A5" s="39"/>
      <c r="B5" s="108"/>
      <c r="C5" s="108"/>
      <c r="D5" s="108"/>
      <c r="E5" s="108"/>
      <c r="F5" s="108"/>
      <c r="G5" s="108"/>
      <c r="H5" s="108"/>
      <c r="I5" s="108"/>
      <c r="J5" s="108"/>
      <c r="K5" s="108"/>
      <c r="L5" s="108"/>
      <c r="M5" s="108"/>
      <c r="N5" s="108"/>
      <c r="O5" s="108"/>
      <c r="P5" s="108"/>
      <c r="Q5" s="108"/>
      <c r="R5" s="108"/>
      <c r="S5" s="108"/>
      <c r="T5" s="108"/>
      <c r="U5" s="108"/>
      <c r="V5" s="108"/>
      <c r="W5" s="108"/>
      <c r="X5" s="108"/>
      <c r="Y5" s="108"/>
      <c r="Z5" s="108"/>
      <c r="AA5" s="108"/>
      <c r="AB5" s="108"/>
      <c r="AC5" s="108"/>
      <c r="AD5" s="108"/>
      <c r="AE5" s="108"/>
      <c r="AF5" s="108"/>
      <c r="AG5" s="108"/>
      <c r="AH5" s="108"/>
      <c r="AI5" s="108"/>
      <c r="AJ5" s="108"/>
      <c r="AK5" s="108"/>
      <c r="AL5" s="108"/>
      <c r="AM5" s="108"/>
      <c r="AN5" s="108"/>
      <c r="AO5" s="108"/>
      <c r="AP5" s="108"/>
      <c r="AQ5" s="108"/>
      <c r="AR5" s="108"/>
      <c r="AS5" s="108"/>
      <c r="AT5" s="108"/>
      <c r="AU5" s="108"/>
      <c r="AV5" s="108"/>
      <c r="AW5" s="108"/>
      <c r="AX5" s="108"/>
      <c r="AY5" s="108"/>
    </row>
    <row r="6" spans="1:51">
      <c r="A6" s="37" t="s">
        <v>15</v>
      </c>
      <c r="B6" s="108">
        <f>(Gender!AZ7/'Total Doctorates'!C7)*100</f>
        <v>18.099547511312217</v>
      </c>
      <c r="C6" s="108">
        <f>(Gender!BA7/'Total Doctorates'!D7)*100</f>
        <v>14.339622641509434</v>
      </c>
      <c r="D6" s="108">
        <f>(Gender!BB7/'Total Doctorates'!E7)*100</f>
        <v>19.927536231884059</v>
      </c>
      <c r="E6" s="108">
        <f>(Gender!BC7/'Total Doctorates'!F7)*100</f>
        <v>22.388059701492537</v>
      </c>
      <c r="F6" s="108">
        <f>(Gender!BD7/'Total Doctorates'!G7)*100</f>
        <v>24.54212454212454</v>
      </c>
      <c r="G6" s="108">
        <f>(Gender!BE7/'Total Doctorates'!H7)*100</f>
        <v>28.571428571428569</v>
      </c>
      <c r="H6" s="108">
        <f>(Gender!BF7/'Total Doctorates'!I7)*100</f>
        <v>25.221238938053098</v>
      </c>
      <c r="I6" s="108">
        <f>(Gender!BG7/'Total Doctorates'!J7)*100</f>
        <v>26.848249027237355</v>
      </c>
      <c r="J6" s="108">
        <f>(Gender!BH7/'Total Doctorates'!K7)*100</f>
        <v>33.828996282527882</v>
      </c>
      <c r="K6" s="108">
        <f>(Gender!BI7/'Total Doctorates'!L7)*100</f>
        <v>35.205992509363298</v>
      </c>
      <c r="L6" s="108">
        <f>(Gender!BJ7/'Total Doctorates'!M7)*100</f>
        <v>33.333333333333329</v>
      </c>
      <c r="M6" s="108">
        <f>(Gender!BK7/'Total Doctorates'!N7)*100</f>
        <v>34.251968503937007</v>
      </c>
      <c r="N6" s="108">
        <f>(Gender!BL7/'Total Doctorates'!O7)*100</f>
        <v>38.181818181818187</v>
      </c>
      <c r="O6" s="108">
        <f>(Gender!BM7/'Total Doctorates'!P7)*100</f>
        <v>43.416370106761562</v>
      </c>
      <c r="P6" s="108">
        <f>(Gender!BN7/'Total Doctorates'!Q7)*100</f>
        <v>45.692883895131089</v>
      </c>
      <c r="Q6" s="108">
        <f>(Gender!BO7/'Total Doctorates'!R7)*100</f>
        <v>44.696969696969695</v>
      </c>
      <c r="R6" s="108">
        <f>(Gender!BP7/'Total Doctorates'!S7)*100</f>
        <v>39.25925925925926</v>
      </c>
      <c r="S6" s="108">
        <f>(Gender!BQ7/'Total Doctorates'!T7)*100</f>
        <v>41.218637992831539</v>
      </c>
      <c r="T6" s="108">
        <f>(Gender!BR7/'Total Doctorates'!U7)*100</f>
        <v>43.598615916955019</v>
      </c>
      <c r="U6" s="108">
        <f>(Gender!BS7/'Total Doctorates'!V7)*100</f>
        <v>44.574780058651022</v>
      </c>
      <c r="V6" s="108">
        <f>(Gender!BT7/'Total Doctorates'!W7)*100</f>
        <v>41.242937853107343</v>
      </c>
      <c r="W6" s="108">
        <f>(Gender!BU7/'Total Doctorates'!X7)*100</f>
        <v>41.836734693877553</v>
      </c>
      <c r="X6" s="108">
        <f>(Gender!BV7/'Total Doctorates'!Y7)*100</f>
        <v>36.096256684491976</v>
      </c>
      <c r="Y6" s="108">
        <f>(Gender!BW7/'Total Doctorates'!Z7)*100</f>
        <v>39.408866995073893</v>
      </c>
      <c r="Z6" s="108">
        <f>(Gender!BX7/'Total Doctorates'!AA7)*100</f>
        <v>45.588235294117645</v>
      </c>
      <c r="AA6" s="108">
        <f>(Gender!BY7/'Total Doctorates'!AB7)*100</f>
        <v>45.662100456621005</v>
      </c>
      <c r="AB6" s="108">
        <f>(Gender!BZ7/'Total Doctorates'!AC7)*100</f>
        <v>39.774859287054412</v>
      </c>
      <c r="AC6" s="108">
        <f>(Gender!CA7/'Total Doctorates'!AD7)*100</f>
        <v>43.416370106761562</v>
      </c>
      <c r="AD6" s="108">
        <f>(Gender!CB7/'Total Doctorates'!AE7)*100</f>
        <v>40.949033391915641</v>
      </c>
      <c r="AE6" s="108">
        <f>(Gender!CC7/'Total Doctorates'!AF7)*100</f>
        <v>38.943248532289623</v>
      </c>
      <c r="AF6" s="108">
        <f>(Gender!CD7/'Total Doctorates'!AG7)*100</f>
        <v>42.696629213483142</v>
      </c>
      <c r="AG6" s="108">
        <f>(Gender!CE7/'Total Doctorates'!AH7)*100</f>
        <v>42.745098039215684</v>
      </c>
      <c r="AH6" s="108">
        <f>(Gender!CF7/'Total Doctorates'!AI7)*100</f>
        <v>45.730550284629977</v>
      </c>
      <c r="AI6" s="108">
        <f>(Gender!CG7/'Total Doctorates'!AJ7)*100</f>
        <v>44.197952218430039</v>
      </c>
      <c r="AJ6" s="108">
        <f>(Gender!CH7/'Total Doctorates'!AK7)*100</f>
        <v>46.833013435700579</v>
      </c>
      <c r="AK6" s="108">
        <f>(Gender!CI7/'Total Doctorates'!AL7)*100</f>
        <v>44.483362521891415</v>
      </c>
      <c r="AL6" s="108">
        <f>(Gender!CJ7/'Total Doctorates'!AM7)*100</f>
        <v>41.736227045075125</v>
      </c>
      <c r="AM6" s="108">
        <f>(Gender!CK7/'Total Doctorates'!AN7)*100</f>
        <v>52.060439560439562</v>
      </c>
      <c r="AN6" s="108">
        <f>(Gender!CL7/'Total Doctorates'!AO7)*100</f>
        <v>52.74151436031331</v>
      </c>
      <c r="AO6" s="108">
        <f>(Gender!CM7/'Total Doctorates'!AP7)*100</f>
        <v>52.986022871664552</v>
      </c>
      <c r="AP6" s="108">
        <f>(Gender!CN7/'Total Doctorates'!AQ7)*100</f>
        <v>47.169811320754718</v>
      </c>
      <c r="AQ6" s="108">
        <f>(Gender!CO7/'Total Doctorates'!AR7)*100</f>
        <v>47.479674796747965</v>
      </c>
      <c r="AR6" s="108">
        <f>(Gender!CP7/'Total Doctorates'!AS7)*100</f>
        <v>49.201741654571848</v>
      </c>
      <c r="AS6" s="108">
        <f>(Gender!CQ7/'Total Doctorates'!AT7)*100</f>
        <v>48.583569405099155</v>
      </c>
      <c r="AT6" s="108">
        <f>(Gender!CR7/'Total Doctorates'!AU7)*100</f>
        <v>49.027777777777779</v>
      </c>
      <c r="AU6" s="108">
        <f>(Gender!CS7/'Total Doctorates'!AV7)*100</f>
        <v>45.963541666666671</v>
      </c>
      <c r="AV6" s="108">
        <f>(Gender!CT7/'Total Doctorates'!AW7)*100</f>
        <v>47.043701799485859</v>
      </c>
      <c r="AW6" s="108">
        <f>(Gender!CU7/'Total Doctorates'!AX7)*100</f>
        <v>50.563204005006256</v>
      </c>
      <c r="AX6" s="108">
        <f>(Gender!CV7/'Total Doctorates'!AY7)*100</f>
        <v>49.803407601572744</v>
      </c>
      <c r="AY6" s="108">
        <f>(Gender!CW7/'Total Doctorates'!AZ7)*100</f>
        <v>48.885976408912192</v>
      </c>
    </row>
    <row r="7" spans="1:51">
      <c r="A7" s="37" t="s">
        <v>16</v>
      </c>
      <c r="B7" s="108">
        <f>(Gender!AZ8/'Total Doctorates'!C8)*100</f>
        <v>11.29032258064516</v>
      </c>
      <c r="C7" s="108">
        <f>(Gender!BA8/'Total Doctorates'!D8)*100</f>
        <v>10.344827586206897</v>
      </c>
      <c r="D7" s="108">
        <f>(Gender!BB8/'Total Doctorates'!E8)*100</f>
        <v>14.965986394557824</v>
      </c>
      <c r="E7" s="108">
        <f>(Gender!BC8/'Total Doctorates'!F8)*100</f>
        <v>16.101694915254235</v>
      </c>
      <c r="F7" s="108">
        <f>(Gender!BD8/'Total Doctorates'!G8)*100</f>
        <v>6.8965517241379306</v>
      </c>
      <c r="G7" s="108">
        <f>(Gender!BE8/'Total Doctorates'!H8)*100</f>
        <v>19.047619047619047</v>
      </c>
      <c r="H7" s="108">
        <f>(Gender!BF8/'Total Doctorates'!I8)*100</f>
        <v>15.833333333333332</v>
      </c>
      <c r="I7" s="108">
        <f>(Gender!BG8/'Total Doctorates'!J8)*100</f>
        <v>24.528301886792452</v>
      </c>
      <c r="J7" s="108">
        <f>(Gender!BH8/'Total Doctorates'!K8)*100</f>
        <v>25</v>
      </c>
      <c r="K7" s="108">
        <f>(Gender!BI8/'Total Doctorates'!L8)*100</f>
        <v>27.956989247311824</v>
      </c>
      <c r="L7" s="108">
        <f>(Gender!BJ8/'Total Doctorates'!M8)*100</f>
        <v>25</v>
      </c>
      <c r="M7" s="108">
        <f>(Gender!BK8/'Total Doctorates'!N8)*100</f>
        <v>20.952380952380953</v>
      </c>
      <c r="N7" s="108">
        <f>(Gender!BL8/'Total Doctorates'!O8)*100</f>
        <v>37.301587301587304</v>
      </c>
      <c r="O7" s="108">
        <f>(Gender!BM8/'Total Doctorates'!P8)*100</f>
        <v>25.968992248062015</v>
      </c>
      <c r="P7" s="108">
        <f>(Gender!BN8/'Total Doctorates'!Q8)*100</f>
        <v>28.90625</v>
      </c>
      <c r="Q7" s="108">
        <f>(Gender!BO8/'Total Doctorates'!R8)*100</f>
        <v>31.25</v>
      </c>
      <c r="R7" s="108">
        <f>(Gender!BP8/'Total Doctorates'!S8)*100</f>
        <v>23.134328358208954</v>
      </c>
      <c r="S7" s="108">
        <f>(Gender!BQ8/'Total Doctorates'!T8)*100</f>
        <v>27.678571428571431</v>
      </c>
      <c r="T7" s="108">
        <f>(Gender!BR8/'Total Doctorates'!U8)*100</f>
        <v>32.673267326732677</v>
      </c>
      <c r="U7" s="108">
        <f>(Gender!BS8/'Total Doctorates'!V8)*100</f>
        <v>35.416666666666671</v>
      </c>
      <c r="V7" s="108">
        <f>(Gender!BT8/'Total Doctorates'!W8)*100</f>
        <v>37.037037037037038</v>
      </c>
      <c r="W7" s="108">
        <f>(Gender!BU8/'Total Doctorates'!X8)*100</f>
        <v>33.333333333333329</v>
      </c>
      <c r="X7" s="108">
        <f>(Gender!BV8/'Total Doctorates'!Y8)*100</f>
        <v>33.035714285714285</v>
      </c>
      <c r="Y7" s="108">
        <f>(Gender!BW8/'Total Doctorates'!Z8)*100</f>
        <v>38.333333333333336</v>
      </c>
      <c r="Z7" s="108">
        <f>(Gender!BX8/'Total Doctorates'!AA8)*100</f>
        <v>30.82191780821918</v>
      </c>
      <c r="AA7" s="108">
        <f>(Gender!BY8/'Total Doctorates'!AB8)*100</f>
        <v>38.70967741935484</v>
      </c>
      <c r="AB7" s="108">
        <f>(Gender!BZ8/'Total Doctorates'!AC8)*100</f>
        <v>49.324324324324323</v>
      </c>
      <c r="AC7" s="108">
        <f>(Gender!CA8/'Total Doctorates'!AD8)*100</f>
        <v>46.308724832214764</v>
      </c>
      <c r="AD7" s="108">
        <f>(Gender!CB8/'Total Doctorates'!AE8)*100</f>
        <v>37.654320987654323</v>
      </c>
      <c r="AE7" s="108">
        <f>(Gender!CC8/'Total Doctorates'!AF8)*100</f>
        <v>42.4</v>
      </c>
      <c r="AF7" s="108">
        <f>(Gender!CD8/'Total Doctorates'!AG8)*100</f>
        <v>41.791044776119399</v>
      </c>
      <c r="AG7" s="108">
        <f>(Gender!CE8/'Total Doctorates'!AH8)*100</f>
        <v>52.083333333333336</v>
      </c>
      <c r="AH7" s="108">
        <f>(Gender!CF8/'Total Doctorates'!AI8)*100</f>
        <v>52.121212121212125</v>
      </c>
      <c r="AI7" s="108">
        <f>(Gender!CG8/'Total Doctorates'!AJ8)*100</f>
        <v>46.666666666666664</v>
      </c>
      <c r="AJ7" s="108">
        <f>(Gender!CH8/'Total Doctorates'!AK8)*100</f>
        <v>46.118721461187214</v>
      </c>
      <c r="AK7" s="108">
        <f>(Gender!CI8/'Total Doctorates'!AL8)*100</f>
        <v>48.192771084337352</v>
      </c>
      <c r="AL7" s="108">
        <f>(Gender!CJ8/'Total Doctorates'!AM8)*100</f>
        <v>47.111111111111107</v>
      </c>
      <c r="AM7" s="108">
        <f>(Gender!CK8/'Total Doctorates'!AN8)*100</f>
        <v>51.834862385321102</v>
      </c>
      <c r="AN7" s="108">
        <f>(Gender!CL8/'Total Doctorates'!AO8)*100</f>
        <v>49.576271186440678</v>
      </c>
      <c r="AO7" s="108">
        <f>(Gender!CM8/'Total Doctorates'!AP8)*100</f>
        <v>53.819444444444443</v>
      </c>
      <c r="AP7" s="108">
        <f>(Gender!CN8/'Total Doctorates'!AQ8)*100</f>
        <v>50</v>
      </c>
      <c r="AQ7" s="108">
        <f>(Gender!CO8/'Total Doctorates'!AR8)*100</f>
        <v>57.87671232876712</v>
      </c>
      <c r="AR7" s="108">
        <f>(Gender!CP8/'Total Doctorates'!AS8)*100</f>
        <v>48.062015503875969</v>
      </c>
      <c r="AS7" s="108">
        <f>(Gender!CQ8/'Total Doctorates'!AT8)*100</f>
        <v>43.642611683848799</v>
      </c>
      <c r="AT7" s="108">
        <f>(Gender!CR8/'Total Doctorates'!AU8)*100</f>
        <v>51.648351648351657</v>
      </c>
      <c r="AU7" s="108">
        <f>(Gender!CS8/'Total Doctorates'!AV8)*100</f>
        <v>47.278911564625851</v>
      </c>
      <c r="AV7" s="108">
        <f>(Gender!CT8/'Total Doctorates'!AW8)*100</f>
        <v>49.675324675324681</v>
      </c>
      <c r="AW7" s="108">
        <f>(Gender!CU8/'Total Doctorates'!AX8)*100</f>
        <v>53.608247422680414</v>
      </c>
      <c r="AX7" s="108">
        <f>(Gender!CV8/'Total Doctorates'!AY8)*100</f>
        <v>42.68656716417911</v>
      </c>
      <c r="AY7" s="108">
        <f>(Gender!CW8/'Total Doctorates'!AZ8)*100</f>
        <v>49.844236760124609</v>
      </c>
    </row>
    <row r="8" spans="1:51">
      <c r="A8" s="37" t="s">
        <v>49</v>
      </c>
      <c r="B8" s="108">
        <f>(Gender!AZ9/'Total Doctorates'!C9)*100</f>
        <v>8.3333333333333321</v>
      </c>
      <c r="C8" s="108">
        <f>(Gender!BA9/'Total Doctorates'!D9)*100</f>
        <v>14.666666666666666</v>
      </c>
      <c r="D8" s="108">
        <f>(Gender!BB9/'Total Doctorates'!E9)*100</f>
        <v>9.4117647058823533</v>
      </c>
      <c r="E8" s="108">
        <f>(Gender!BC9/'Total Doctorates'!F9)*100</f>
        <v>11.842105263157894</v>
      </c>
      <c r="F8" s="108">
        <f>(Gender!BD9/'Total Doctorates'!G9)*100</f>
        <v>20.588235294117645</v>
      </c>
      <c r="G8" s="108">
        <f>(Gender!BE9/'Total Doctorates'!H9)*100</f>
        <v>17.105263157894736</v>
      </c>
      <c r="H8" s="108">
        <f>(Gender!BF9/'Total Doctorates'!I9)*100</f>
        <v>25</v>
      </c>
      <c r="I8" s="108">
        <f>(Gender!BG9/'Total Doctorates'!J9)*100</f>
        <v>22.448979591836736</v>
      </c>
      <c r="J8" s="108">
        <f>(Gender!BH9/'Total Doctorates'!K9)*100</f>
        <v>17.333333333333336</v>
      </c>
      <c r="K8" s="108">
        <f>(Gender!BI9/'Total Doctorates'!L9)*100</f>
        <v>19.298245614035086</v>
      </c>
      <c r="L8" s="108">
        <f>(Gender!BJ9/'Total Doctorates'!M9)*100</f>
        <v>22.857142857142858</v>
      </c>
      <c r="M8" s="108">
        <f>(Gender!BK9/'Total Doctorates'!N9)*100</f>
        <v>37.931034482758619</v>
      </c>
      <c r="N8" s="108">
        <f>(Gender!BL9/'Total Doctorates'!O9)*100</f>
        <v>22.857142857142858</v>
      </c>
      <c r="O8" s="108">
        <f>(Gender!BM9/'Total Doctorates'!P9)*100</f>
        <v>36.206896551724135</v>
      </c>
      <c r="P8" s="108">
        <f>(Gender!BN9/'Total Doctorates'!Q9)*100</f>
        <v>33.333333333333329</v>
      </c>
      <c r="Q8" s="108">
        <f>(Gender!BO9/'Total Doctorates'!R9)*100</f>
        <v>31.182795698924732</v>
      </c>
      <c r="R8" s="108">
        <f>(Gender!BP9/'Total Doctorates'!S9)*100</f>
        <v>24</v>
      </c>
      <c r="S8" s="108">
        <f>(Gender!BQ9/'Total Doctorates'!T9)*100</f>
        <v>27.083333333333332</v>
      </c>
      <c r="T8" s="108">
        <f>(Gender!BR9/'Total Doctorates'!U9)*100</f>
        <v>32.710280373831772</v>
      </c>
      <c r="U8" s="108">
        <f>(Gender!BS9/'Total Doctorates'!V9)*100</f>
        <v>34.210526315789473</v>
      </c>
      <c r="V8" s="108">
        <f>(Gender!BT9/'Total Doctorates'!W9)*100</f>
        <v>34.210526315789473</v>
      </c>
      <c r="W8" s="108">
        <f>(Gender!BU9/'Total Doctorates'!X9)*100</f>
        <v>29.323308270676691</v>
      </c>
      <c r="X8" s="108">
        <f>(Gender!BV9/'Total Doctorates'!Y9)*100</f>
        <v>32.934131736526943</v>
      </c>
      <c r="Y8" s="108">
        <f>(Gender!BW9/'Total Doctorates'!Z9)*100</f>
        <v>29.166666666666668</v>
      </c>
      <c r="Z8" s="108">
        <f>(Gender!BX9/'Total Doctorates'!AA9)*100</f>
        <v>39.669421487603309</v>
      </c>
      <c r="AA8" s="108">
        <f>(Gender!BY9/'Total Doctorates'!AB9)*100</f>
        <v>40.236686390532547</v>
      </c>
      <c r="AB8" s="108">
        <f>(Gender!BZ9/'Total Doctorates'!AC9)*100</f>
        <v>37.362637362637365</v>
      </c>
      <c r="AC8" s="108">
        <f>(Gender!CA9/'Total Doctorates'!AD9)*100</f>
        <v>37.566137566137563</v>
      </c>
      <c r="AD8" s="108">
        <f>(Gender!CB9/'Total Doctorates'!AE9)*100</f>
        <v>41.860465116279073</v>
      </c>
      <c r="AE8" s="108">
        <f>(Gender!CC9/'Total Doctorates'!AF9)*100</f>
        <v>35.542168674698793</v>
      </c>
      <c r="AF8" s="108">
        <f>(Gender!CD9/'Total Doctorates'!AG9)*100</f>
        <v>38.121546961325969</v>
      </c>
      <c r="AG8" s="108">
        <f>(Gender!CE9/'Total Doctorates'!AH9)*100</f>
        <v>46.596858638743456</v>
      </c>
      <c r="AH8" s="108">
        <f>(Gender!CF9/'Total Doctorates'!AI9)*100</f>
        <v>39.24050632911392</v>
      </c>
      <c r="AI8" s="108">
        <f>(Gender!CG9/'Total Doctorates'!AJ9)*100</f>
        <v>43.452380952380956</v>
      </c>
      <c r="AJ8" s="108">
        <f>(Gender!CH9/'Total Doctorates'!AK9)*100</f>
        <v>41.293532338308459</v>
      </c>
      <c r="AK8" s="108">
        <f>(Gender!CI9/'Total Doctorates'!AL9)*100</f>
        <v>49.145299145299141</v>
      </c>
      <c r="AL8" s="108">
        <f>(Gender!CJ9/'Total Doctorates'!AM9)*100</f>
        <v>47.601476014760145</v>
      </c>
      <c r="AM8" s="108">
        <f>(Gender!CK9/'Total Doctorates'!AN9)*100</f>
        <v>47.349823321554766</v>
      </c>
      <c r="AN8" s="108">
        <f>(Gender!CL9/'Total Doctorates'!AO9)*100</f>
        <v>58.139534883720934</v>
      </c>
      <c r="AO8" s="108">
        <f>(Gender!CM9/'Total Doctorates'!AP9)*100</f>
        <v>50</v>
      </c>
      <c r="AP8" s="108">
        <f>(Gender!CN9/'Total Doctorates'!AQ9)*100</f>
        <v>50.226244343891402</v>
      </c>
      <c r="AQ8" s="108">
        <f>(Gender!CO9/'Total Doctorates'!AR9)*100</f>
        <v>49.224806201550386</v>
      </c>
      <c r="AR8" s="108">
        <f>(Gender!CP9/'Total Doctorates'!AS9)*100</f>
        <v>48.928571428571423</v>
      </c>
      <c r="AS8" s="108">
        <f>(Gender!CQ9/'Total Doctorates'!AT9)*100</f>
        <v>50.78125</v>
      </c>
      <c r="AT8" s="108">
        <f>(Gender!CR9/'Total Doctorates'!AU9)*100</f>
        <v>50.714285714285708</v>
      </c>
      <c r="AU8" s="108">
        <f>(Gender!CS9/'Total Doctorates'!AV9)*100</f>
        <v>53.592814371257482</v>
      </c>
      <c r="AV8" s="108">
        <f>(Gender!CT9/'Total Doctorates'!AW9)*100</f>
        <v>46.1139896373057</v>
      </c>
      <c r="AW8" s="108">
        <f>(Gender!CU9/'Total Doctorates'!AX9)*100</f>
        <v>51.104972375690608</v>
      </c>
      <c r="AX8" s="108">
        <f>(Gender!CV9/'Total Doctorates'!AY9)*100</f>
        <v>53.393665158371043</v>
      </c>
      <c r="AY8" s="108">
        <f>(Gender!CW9/'Total Doctorates'!AZ9)*100</f>
        <v>50</v>
      </c>
    </row>
    <row r="9" spans="1:51">
      <c r="A9" s="37" t="s">
        <v>17</v>
      </c>
      <c r="B9" s="108">
        <f>(Gender!AZ10/'Total Doctorates'!C10)*100</f>
        <v>15.419161676646706</v>
      </c>
      <c r="C9" s="108">
        <f>(Gender!BA10/'Total Doctorates'!D10)*100</f>
        <v>17.378917378917379</v>
      </c>
      <c r="D9" s="108">
        <f>(Gender!BB10/'Total Doctorates'!E10)*100</f>
        <v>17.608409986859396</v>
      </c>
      <c r="E9" s="108">
        <f>(Gender!BC10/'Total Doctorates'!F10)*100</f>
        <v>20.435967302452315</v>
      </c>
      <c r="F9" s="108">
        <f>(Gender!BD10/'Total Doctorates'!G10)*100</f>
        <v>21.522309711286088</v>
      </c>
      <c r="G9" s="108">
        <f>(Gender!BE10/'Total Doctorates'!H10)*100</f>
        <v>22.874671340929009</v>
      </c>
      <c r="H9" s="108">
        <f>(Gender!BF10/'Total Doctorates'!I10)*100</f>
        <v>23.52941176470588</v>
      </c>
      <c r="I9" s="108">
        <f>(Gender!BG10/'Total Doctorates'!J10)*100</f>
        <v>25.881523272214384</v>
      </c>
      <c r="J9" s="108">
        <f>(Gender!BH10/'Total Doctorates'!K10)*100</f>
        <v>26.570779712339139</v>
      </c>
      <c r="K9" s="108">
        <f>(Gender!BI10/'Total Doctorates'!L10)*100</f>
        <v>29.927488464073832</v>
      </c>
      <c r="L9" s="108">
        <f>(Gender!BJ10/'Total Doctorates'!M10)*100</f>
        <v>29.817708333333332</v>
      </c>
      <c r="M9" s="108">
        <f>(Gender!BK10/'Total Doctorates'!N10)*100</f>
        <v>35.562805872756933</v>
      </c>
      <c r="N9" s="108">
        <f>(Gender!BL10/'Total Doctorates'!O10)*100</f>
        <v>38.490566037735853</v>
      </c>
      <c r="O9" s="108">
        <f>(Gender!BM10/'Total Doctorates'!P10)*100</f>
        <v>39.788053949903663</v>
      </c>
      <c r="P9" s="108">
        <f>(Gender!BN10/'Total Doctorates'!Q10)*100</f>
        <v>36.685823754789268</v>
      </c>
      <c r="Q9" s="108">
        <f>(Gender!BO10/'Total Doctorates'!R10)*100</f>
        <v>38.085539714867615</v>
      </c>
      <c r="R9" s="108">
        <f>(Gender!BP10/'Total Doctorates'!S10)*100</f>
        <v>40.776699029126213</v>
      </c>
      <c r="S9" s="108">
        <f>(Gender!BQ10/'Total Doctorates'!T10)*100</f>
        <v>40.66726780883679</v>
      </c>
      <c r="T9" s="108">
        <f>(Gender!BR10/'Total Doctorates'!U10)*100</f>
        <v>41.333333333333336</v>
      </c>
      <c r="U9" s="108">
        <f>(Gender!BS10/'Total Doctorates'!V10)*100</f>
        <v>43.63030807660283</v>
      </c>
      <c r="V9" s="108">
        <f>(Gender!BT10/'Total Doctorates'!W10)*100</f>
        <v>42.605915267785768</v>
      </c>
      <c r="W9" s="108">
        <f>(Gender!BU10/'Total Doctorates'!X10)*100</f>
        <v>41.713370696557242</v>
      </c>
      <c r="X9" s="108">
        <f>(Gender!BV10/'Total Doctorates'!Y10)*100</f>
        <v>42.167832167832167</v>
      </c>
      <c r="Y9" s="108">
        <f>(Gender!BW10/'Total Doctorates'!Z10)*100</f>
        <v>44.912703190848887</v>
      </c>
      <c r="Z9" s="108">
        <f>(Gender!BX10/'Total Doctorates'!AA10)*100</f>
        <v>45.133819951338197</v>
      </c>
      <c r="AA9" s="108">
        <f>(Gender!BY10/'Total Doctorates'!AB10)*100</f>
        <v>46.64246823956443</v>
      </c>
      <c r="AB9" s="108">
        <f>(Gender!BZ10/'Total Doctorates'!AC10)*100</f>
        <v>45.407872219053054</v>
      </c>
      <c r="AC9" s="108">
        <f>(Gender!CA10/'Total Doctorates'!AD10)*100</f>
        <v>45.980176211453745</v>
      </c>
      <c r="AD9" s="108">
        <f>(Gender!CB10/'Total Doctorates'!AE10)*100</f>
        <v>47.368421052631575</v>
      </c>
      <c r="AE9" s="108">
        <f>(Gender!CC10/'Total Doctorates'!AF10)*100</f>
        <v>48.885511651469102</v>
      </c>
      <c r="AF9" s="108">
        <f>(Gender!CD10/'Total Doctorates'!AG10)*100</f>
        <v>51.839926402943881</v>
      </c>
      <c r="AG9" s="108">
        <f>(Gender!CE10/'Total Doctorates'!AH10)*100</f>
        <v>52.311320754716981</v>
      </c>
      <c r="AH9" s="108">
        <f>(Gender!CF10/'Total Doctorates'!AI10)*100</f>
        <v>54.664914586070957</v>
      </c>
      <c r="AI9" s="108">
        <f>(Gender!CG10/'Total Doctorates'!AJ10)*100</f>
        <v>55.883480260636262</v>
      </c>
      <c r="AJ9" s="108">
        <f>(Gender!CH10/'Total Doctorates'!AK10)*100</f>
        <v>57.290233837689129</v>
      </c>
      <c r="AK9" s="108">
        <f>(Gender!CI10/'Total Doctorates'!AL10)*100</f>
        <v>56.821148825065272</v>
      </c>
      <c r="AL9" s="108">
        <f>(Gender!CJ10/'Total Doctorates'!AM10)*100</f>
        <v>54.8122866894198</v>
      </c>
      <c r="AM9" s="108">
        <f>(Gender!CK10/'Total Doctorates'!AN10)*100</f>
        <v>58.238466147393652</v>
      </c>
      <c r="AN9" s="108">
        <f>(Gender!CL10/'Total Doctorates'!AO10)*100</f>
        <v>57.91148394561759</v>
      </c>
      <c r="AO9" s="108">
        <f>(Gender!CM10/'Total Doctorates'!AP10)*100</f>
        <v>57.102191858810137</v>
      </c>
      <c r="AP9" s="108">
        <f>(Gender!CN10/'Total Doctorates'!AQ10)*100</f>
        <v>54.433833560709409</v>
      </c>
      <c r="AQ9" s="108">
        <f>(Gender!CO10/'Total Doctorates'!AR10)*100</f>
        <v>52.756171795738929</v>
      </c>
      <c r="AR9" s="108">
        <f>(Gender!CP10/'Total Doctorates'!AS10)*100</f>
        <v>51.573187414500687</v>
      </c>
      <c r="AS9" s="108">
        <f>(Gender!CQ10/'Total Doctorates'!AT10)*100</f>
        <v>53.187250996015933</v>
      </c>
      <c r="AT9" s="108">
        <f>(Gender!CR10/'Total Doctorates'!AU10)*100</f>
        <v>53.550568705810022</v>
      </c>
      <c r="AU9" s="108">
        <f>(Gender!CS10/'Total Doctorates'!AV10)*100</f>
        <v>54.251386321626619</v>
      </c>
      <c r="AV9" s="108">
        <f>(Gender!CT10/'Total Doctorates'!AW10)*100</f>
        <v>53.472438492681405</v>
      </c>
      <c r="AW9" s="108">
        <f>(Gender!CU10/'Total Doctorates'!AX10)*100</f>
        <v>54.181184668989545</v>
      </c>
      <c r="AX9" s="108">
        <f>(Gender!CV10/'Total Doctorates'!AY10)*100</f>
        <v>53.896660005709393</v>
      </c>
      <c r="AY9" s="108">
        <f>(Gender!CW10/'Total Doctorates'!AZ10)*100</f>
        <v>54.093144344807641</v>
      </c>
    </row>
    <row r="10" spans="1:51">
      <c r="A10" s="37" t="s">
        <v>18</v>
      </c>
      <c r="B10" s="108">
        <f>(Gender!AZ11/'Total Doctorates'!C11)*100</f>
        <v>14.782608695652174</v>
      </c>
      <c r="C10" s="108">
        <f>(Gender!BA11/'Total Doctorates'!D11)*100</f>
        <v>15.350877192982457</v>
      </c>
      <c r="D10" s="108">
        <f>(Gender!BB11/'Total Doctorates'!E11)*100</f>
        <v>13.496932515337424</v>
      </c>
      <c r="E10" s="108">
        <f>(Gender!BC11/'Total Doctorates'!F11)*100</f>
        <v>17.09558823529412</v>
      </c>
      <c r="F10" s="108">
        <f>(Gender!BD11/'Total Doctorates'!G11)*100</f>
        <v>19.816513761467892</v>
      </c>
      <c r="G10" s="108">
        <f>(Gender!BE11/'Total Doctorates'!H11)*100</f>
        <v>23.540145985401459</v>
      </c>
      <c r="H10" s="108">
        <f>(Gender!BF11/'Total Doctorates'!I11)*100</f>
        <v>24.823943661971832</v>
      </c>
      <c r="I10" s="108">
        <f>(Gender!BG11/'Total Doctorates'!J11)*100</f>
        <v>23.333333333333332</v>
      </c>
      <c r="J10" s="108">
        <f>(Gender!BH11/'Total Doctorates'!K11)*100</f>
        <v>28.952042628774421</v>
      </c>
      <c r="K10" s="108">
        <f>(Gender!BI11/'Total Doctorates'!L11)*100</f>
        <v>31.69811320754717</v>
      </c>
      <c r="L10" s="108">
        <f>(Gender!BJ11/'Total Doctorates'!M11)*100</f>
        <v>30.783242258652095</v>
      </c>
      <c r="M10" s="108">
        <f>(Gender!BK11/'Total Doctorates'!N11)*100</f>
        <v>31.826401446654611</v>
      </c>
      <c r="N10" s="108">
        <f>(Gender!BL11/'Total Doctorates'!O11)*100</f>
        <v>33.217391304347828</v>
      </c>
      <c r="O10" s="108">
        <f>(Gender!BM11/'Total Doctorates'!P11)*100</f>
        <v>36.439267886855241</v>
      </c>
      <c r="P10" s="108">
        <f>(Gender!BN11/'Total Doctorates'!Q11)*100</f>
        <v>34.957983193277308</v>
      </c>
      <c r="Q10" s="108">
        <f>(Gender!BO11/'Total Doctorates'!R11)*100</f>
        <v>36.605890603085555</v>
      </c>
      <c r="R10" s="108">
        <f>(Gender!BP11/'Total Doctorates'!S11)*100</f>
        <v>36.786786786786784</v>
      </c>
      <c r="S10" s="108">
        <f>(Gender!BQ11/'Total Doctorates'!T11)*100</f>
        <v>37.767584097859327</v>
      </c>
      <c r="T10" s="108">
        <f>(Gender!BR11/'Total Doctorates'!U11)*100</f>
        <v>40.027137042062414</v>
      </c>
      <c r="U10" s="108">
        <f>(Gender!BS11/'Total Doctorates'!V11)*100</f>
        <v>39.25</v>
      </c>
      <c r="V10" s="108">
        <f>(Gender!BT11/'Total Doctorates'!W11)*100</f>
        <v>36.5</v>
      </c>
      <c r="W10" s="108">
        <f>(Gender!BU11/'Total Doctorates'!X11)*100</f>
        <v>35.912938331318017</v>
      </c>
      <c r="X10" s="108">
        <f>(Gender!BV11/'Total Doctorates'!Y11)*100</f>
        <v>37.5</v>
      </c>
      <c r="Y10" s="108">
        <f>(Gender!BW11/'Total Doctorates'!Z11)*100</f>
        <v>40.044493882091217</v>
      </c>
      <c r="Z10" s="108">
        <f>(Gender!BX11/'Total Doctorates'!AA11)*100</f>
        <v>39.483394833948338</v>
      </c>
      <c r="AA10" s="108">
        <f>(Gender!BY11/'Total Doctorates'!AB11)*100</f>
        <v>41.541755888650968</v>
      </c>
      <c r="AB10" s="108">
        <f>(Gender!BZ11/'Total Doctorates'!AC11)*100</f>
        <v>39.418254764292875</v>
      </c>
      <c r="AC10" s="108">
        <f>(Gender!CA11/'Total Doctorates'!AD11)*100</f>
        <v>41.921858500527982</v>
      </c>
      <c r="AD10" s="108">
        <f>(Gender!CB11/'Total Doctorates'!AE11)*100</f>
        <v>40.959409594095945</v>
      </c>
      <c r="AE10" s="108">
        <f>(Gender!CC11/'Total Doctorates'!AF11)*100</f>
        <v>43.560606060606062</v>
      </c>
      <c r="AF10" s="108">
        <f>(Gender!CD11/'Total Doctorates'!AG11)*100</f>
        <v>44.670542635658919</v>
      </c>
      <c r="AG10" s="108">
        <f>(Gender!CE11/'Total Doctorates'!AH11)*100</f>
        <v>46.230699364214352</v>
      </c>
      <c r="AH10" s="108">
        <f>(Gender!CF11/'Total Doctorates'!AI11)*100</f>
        <v>47.762478485370053</v>
      </c>
      <c r="AI10" s="108">
        <f>(Gender!CG11/'Total Doctorates'!AJ11)*100</f>
        <v>46.613190730837786</v>
      </c>
      <c r="AJ10" s="108">
        <f>(Gender!CH11/'Total Doctorates'!AK11)*100</f>
        <v>46.384479717813051</v>
      </c>
      <c r="AK10" s="108">
        <f>(Gender!CI11/'Total Doctorates'!AL11)*100</f>
        <v>45.795918367346935</v>
      </c>
      <c r="AL10" s="108">
        <f>(Gender!CJ11/'Total Doctorates'!AM11)*100</f>
        <v>49.373259052924787</v>
      </c>
      <c r="AM10" s="108">
        <f>(Gender!CK11/'Total Doctorates'!AN11)*100</f>
        <v>48.430769230769229</v>
      </c>
      <c r="AN10" s="108">
        <f>(Gender!CL11/'Total Doctorates'!AO11)*100</f>
        <v>51.279000594883996</v>
      </c>
      <c r="AO10" s="108">
        <f>(Gender!CM11/'Total Doctorates'!AP11)*100</f>
        <v>51.882352941176471</v>
      </c>
      <c r="AP10" s="108">
        <f>(Gender!CN11/'Total Doctorates'!AQ11)*100</f>
        <v>54.7260686333534</v>
      </c>
      <c r="AQ10" s="108">
        <f>(Gender!CO11/'Total Doctorates'!AR11)*100</f>
        <v>51.033668044890725</v>
      </c>
      <c r="AR10" s="108">
        <f>(Gender!CP11/'Total Doctorates'!AS11)*100</f>
        <v>52.280701754385959</v>
      </c>
      <c r="AS10" s="108">
        <f>(Gender!CQ11/'Total Doctorates'!AT11)*100</f>
        <v>51.085043988269796</v>
      </c>
      <c r="AT10" s="108">
        <f>(Gender!CR11/'Total Doctorates'!AU11)*100</f>
        <v>50.105932203389834</v>
      </c>
      <c r="AU10" s="108">
        <f>(Gender!CS11/'Total Doctorates'!AV11)*100</f>
        <v>51.313025210084028</v>
      </c>
      <c r="AV10" s="108">
        <f>(Gender!CT11/'Total Doctorates'!AW11)*100</f>
        <v>50.547730829420971</v>
      </c>
      <c r="AW10" s="108">
        <f>(Gender!CU11/'Total Doctorates'!AX11)*100</f>
        <v>52.121817274088869</v>
      </c>
      <c r="AX10" s="108">
        <f>(Gender!CV11/'Total Doctorates'!AY11)*100</f>
        <v>49.89827060020346</v>
      </c>
      <c r="AY10" s="108">
        <f>(Gender!CW11/'Total Doctorates'!AZ11)*100</f>
        <v>48.20951362907536</v>
      </c>
    </row>
    <row r="11" spans="1:51">
      <c r="A11" s="37" t="s">
        <v>19</v>
      </c>
      <c r="B11" s="108">
        <f>(Gender!AZ12/'Total Doctorates'!C12)*100</f>
        <v>13.872832369942195</v>
      </c>
      <c r="C11" s="108">
        <f>(Gender!BA12/'Total Doctorates'!D12)*100</f>
        <v>14.736842105263156</v>
      </c>
      <c r="D11" s="108">
        <f>(Gender!BB12/'Total Doctorates'!E12)*100</f>
        <v>13.131313131313133</v>
      </c>
      <c r="E11" s="108">
        <f>(Gender!BC12/'Total Doctorates'!F12)*100</f>
        <v>11.219512195121952</v>
      </c>
      <c r="F11" s="108">
        <f>(Gender!BD12/'Total Doctorates'!G12)*100</f>
        <v>11.969111969111969</v>
      </c>
      <c r="G11" s="108">
        <f>(Gender!BE12/'Total Doctorates'!H12)*100</f>
        <v>12.749003984063744</v>
      </c>
      <c r="H11" s="108">
        <f>(Gender!BF12/'Total Doctorates'!I12)*100</f>
        <v>15.83011583011583</v>
      </c>
      <c r="I11" s="108">
        <f>(Gender!BG12/'Total Doctorates'!J12)*100</f>
        <v>14.342629482071715</v>
      </c>
      <c r="J11" s="108">
        <f>(Gender!BH12/'Total Doctorates'!K12)*100</f>
        <v>17.355371900826448</v>
      </c>
      <c r="K11" s="108">
        <f>(Gender!BI12/'Total Doctorates'!L12)*100</f>
        <v>14.17624521072797</v>
      </c>
      <c r="L11" s="108">
        <f>(Gender!BJ12/'Total Doctorates'!M12)*100</f>
        <v>21.402214022140221</v>
      </c>
      <c r="M11" s="108">
        <f>(Gender!BK12/'Total Doctorates'!N12)*100</f>
        <v>15.530303030303031</v>
      </c>
      <c r="N11" s="108">
        <f>(Gender!BL12/'Total Doctorates'!O12)*100</f>
        <v>21.25</v>
      </c>
      <c r="O11" s="108">
        <f>(Gender!BM12/'Total Doctorates'!P12)*100</f>
        <v>20.664206642066421</v>
      </c>
      <c r="P11" s="108">
        <f>(Gender!BN12/'Total Doctorates'!Q12)*100</f>
        <v>24.731182795698924</v>
      </c>
      <c r="Q11" s="108">
        <f>(Gender!BO12/'Total Doctorates'!R12)*100</f>
        <v>21.568627450980394</v>
      </c>
      <c r="R11" s="108">
        <f>(Gender!BP12/'Total Doctorates'!S12)*100</f>
        <v>22.177419354838708</v>
      </c>
      <c r="S11" s="108">
        <f>(Gender!BQ12/'Total Doctorates'!T12)*100</f>
        <v>24.555160142348754</v>
      </c>
      <c r="T11" s="108">
        <f>(Gender!BR12/'Total Doctorates'!U12)*100</f>
        <v>25.23961661341853</v>
      </c>
      <c r="U11" s="108">
        <f>(Gender!BS12/'Total Doctorates'!V12)*100</f>
        <v>29.518072289156628</v>
      </c>
      <c r="V11" s="108">
        <f>(Gender!BT12/'Total Doctorates'!W12)*100</f>
        <v>26.25</v>
      </c>
      <c r="W11" s="108">
        <f>(Gender!BU12/'Total Doctorates'!X12)*100</f>
        <v>29.012345679012348</v>
      </c>
      <c r="X11" s="108">
        <f>(Gender!BV12/'Total Doctorates'!Y12)*100</f>
        <v>37.29903536977492</v>
      </c>
      <c r="Y11" s="108">
        <f>(Gender!BW12/'Total Doctorates'!Z12)*100</f>
        <v>28.658536585365852</v>
      </c>
      <c r="Z11" s="108">
        <f>(Gender!BX12/'Total Doctorates'!AA12)*100</f>
        <v>33.665835411471321</v>
      </c>
      <c r="AA11" s="108">
        <f>(Gender!BY12/'Total Doctorates'!AB12)*100</f>
        <v>34.508816120906801</v>
      </c>
      <c r="AB11" s="108">
        <f>(Gender!BZ12/'Total Doctorates'!AC12)*100</f>
        <v>38.902743142144637</v>
      </c>
      <c r="AC11" s="108">
        <f>(Gender!CA12/'Total Doctorates'!AD12)*100</f>
        <v>32.603406326034062</v>
      </c>
      <c r="AD11" s="108">
        <f>(Gender!CB12/'Total Doctorates'!AE12)*100</f>
        <v>35.609756097560975</v>
      </c>
      <c r="AE11" s="108">
        <f>(Gender!CC12/'Total Doctorates'!AF12)*100</f>
        <v>35.309278350515463</v>
      </c>
      <c r="AF11" s="108">
        <f>(Gender!CD12/'Total Doctorates'!AG12)*100</f>
        <v>40.749414519906324</v>
      </c>
      <c r="AG11" s="108">
        <f>(Gender!CE12/'Total Doctorates'!AH12)*100</f>
        <v>42.659279778393348</v>
      </c>
      <c r="AH11" s="108">
        <f>(Gender!CF12/'Total Doctorates'!AI12)*100</f>
        <v>41.361256544502616</v>
      </c>
      <c r="AI11" s="108">
        <f>(Gender!CG12/'Total Doctorates'!AJ12)*100</f>
        <v>43.564356435643568</v>
      </c>
      <c r="AJ11" s="108">
        <f>(Gender!CH12/'Total Doctorates'!AK12)*100</f>
        <v>44.339622641509436</v>
      </c>
      <c r="AK11" s="108">
        <f>(Gender!CI12/'Total Doctorates'!AL12)*100</f>
        <v>45.792563600782778</v>
      </c>
      <c r="AL11" s="108">
        <f>(Gender!CJ12/'Total Doctorates'!AM12)*100</f>
        <v>50.097087378640779</v>
      </c>
      <c r="AM11" s="108">
        <f>(Gender!CK12/'Total Doctorates'!AN12)*100</f>
        <v>44.80968858131488</v>
      </c>
      <c r="AN11" s="108">
        <f>(Gender!CL12/'Total Doctorates'!AO12)*100</f>
        <v>50.169491525423723</v>
      </c>
      <c r="AO11" s="108">
        <f>(Gender!CM12/'Total Doctorates'!AP12)*100</f>
        <v>57.269503546099287</v>
      </c>
      <c r="AP11" s="108">
        <f>(Gender!CN12/'Total Doctorates'!AQ12)*100</f>
        <v>49.898989898989896</v>
      </c>
      <c r="AQ11" s="108">
        <f>(Gender!CO12/'Total Doctorates'!AR12)*100</f>
        <v>52.380952380952387</v>
      </c>
      <c r="AR11" s="108">
        <f>(Gender!CP12/'Total Doctorates'!AS12)*100</f>
        <v>51.099830795262271</v>
      </c>
      <c r="AS11" s="108">
        <f>(Gender!CQ12/'Total Doctorates'!AT12)*100</f>
        <v>46.402877697841724</v>
      </c>
      <c r="AT11" s="108">
        <f>(Gender!CR12/'Total Doctorates'!AU12)*100</f>
        <v>51.277683134582617</v>
      </c>
      <c r="AU11" s="108">
        <f>(Gender!CS12/'Total Doctorates'!AV12)*100</f>
        <v>47.904191616766468</v>
      </c>
      <c r="AV11" s="108">
        <f>(Gender!CT12/'Total Doctorates'!AW12)*100</f>
        <v>49.57118353344768</v>
      </c>
      <c r="AW11" s="108">
        <f>(Gender!CU12/'Total Doctorates'!AX12)*100</f>
        <v>50.771604938271608</v>
      </c>
      <c r="AX11" s="108">
        <f>(Gender!CV12/'Total Doctorates'!AY12)*100</f>
        <v>49.716713881019828</v>
      </c>
      <c r="AY11" s="108">
        <f>(Gender!CW12/'Total Doctorates'!AZ12)*100</f>
        <v>47.424042272126812</v>
      </c>
    </row>
    <row r="12" spans="1:51">
      <c r="A12" s="37" t="s">
        <v>20</v>
      </c>
      <c r="B12" s="108">
        <f>(Gender!AZ13/'Total Doctorates'!C13)*100</f>
        <v>13.218390804597702</v>
      </c>
      <c r="C12" s="108">
        <f>(Gender!BA13/'Total Doctorates'!D13)*100</f>
        <v>14.322250639386189</v>
      </c>
      <c r="D12" s="108">
        <f>(Gender!BB13/'Total Doctorates'!E13)*100</f>
        <v>15.812917594654788</v>
      </c>
      <c r="E12" s="108">
        <f>(Gender!BC13/'Total Doctorates'!F13)*100</f>
        <v>17.260273972602739</v>
      </c>
      <c r="F12" s="108">
        <f>(Gender!BD13/'Total Doctorates'!G13)*100</f>
        <v>17.241379310344829</v>
      </c>
      <c r="G12" s="108">
        <f>(Gender!BE13/'Total Doctorates'!H13)*100</f>
        <v>18.393782383419687</v>
      </c>
      <c r="H12" s="108">
        <f>(Gender!BF13/'Total Doctorates'!I13)*100</f>
        <v>20.481927710843372</v>
      </c>
      <c r="I12" s="108">
        <f>(Gender!BG13/'Total Doctorates'!J13)*100</f>
        <v>20.462046204620464</v>
      </c>
      <c r="J12" s="108">
        <f>(Gender!BH13/'Total Doctorates'!K13)*100</f>
        <v>24.76489028213166</v>
      </c>
      <c r="K12" s="108">
        <f>(Gender!BI13/'Total Doctorates'!L13)*100</f>
        <v>23.29192546583851</v>
      </c>
      <c r="L12" s="108">
        <f>(Gender!BJ13/'Total Doctorates'!M13)*100</f>
        <v>29.29936305732484</v>
      </c>
      <c r="M12" s="108">
        <f>(Gender!BK13/'Total Doctorates'!N13)*100</f>
        <v>27.881040892193308</v>
      </c>
      <c r="N12" s="108">
        <f>(Gender!BL13/'Total Doctorates'!O13)*100</f>
        <v>32.061068702290072</v>
      </c>
      <c r="O12" s="108">
        <f>(Gender!BM13/'Total Doctorates'!P13)*100</f>
        <v>29.285714285714288</v>
      </c>
      <c r="P12" s="108">
        <f>(Gender!BN13/'Total Doctorates'!Q13)*100</f>
        <v>25.819672131147541</v>
      </c>
      <c r="Q12" s="108">
        <f>(Gender!BO13/'Total Doctorates'!R13)*100</f>
        <v>27.734375</v>
      </c>
      <c r="R12" s="108">
        <f>(Gender!BP13/'Total Doctorates'!S13)*100</f>
        <v>27.931034482758619</v>
      </c>
      <c r="S12" s="108">
        <f>(Gender!BQ13/'Total Doctorates'!T13)*100</f>
        <v>38.538205980066451</v>
      </c>
      <c r="T12" s="108">
        <f>(Gender!BR13/'Total Doctorates'!U13)*100</f>
        <v>28.323699421965319</v>
      </c>
      <c r="U12" s="108">
        <f>(Gender!BS13/'Total Doctorates'!V13)*100</f>
        <v>33.854166666666671</v>
      </c>
      <c r="V12" s="108">
        <f>(Gender!BT13/'Total Doctorates'!W13)*100</f>
        <v>28.888888888888886</v>
      </c>
      <c r="W12" s="108">
        <f>(Gender!BU13/'Total Doctorates'!X13)*100</f>
        <v>36.690647482014391</v>
      </c>
      <c r="X12" s="108">
        <f>(Gender!BV13/'Total Doctorates'!Y13)*100</f>
        <v>35.697399527186761</v>
      </c>
      <c r="Y12" s="108">
        <f>(Gender!BW13/'Total Doctorates'!Z13)*100</f>
        <v>37.149532710280376</v>
      </c>
      <c r="Z12" s="108">
        <f>(Gender!BX13/'Total Doctorates'!AA13)*100</f>
        <v>38.926174496644293</v>
      </c>
      <c r="AA12" s="108">
        <f>(Gender!BY13/'Total Doctorates'!AB13)*100</f>
        <v>32.264529058116231</v>
      </c>
      <c r="AB12" s="108">
        <f>(Gender!BZ13/'Total Doctorates'!AC13)*100</f>
        <v>39.691714836223504</v>
      </c>
      <c r="AC12" s="108">
        <f>(Gender!CA13/'Total Doctorates'!AD13)*100</f>
        <v>38.419117647058826</v>
      </c>
      <c r="AD12" s="108">
        <f>(Gender!CB13/'Total Doctorates'!AE13)*100</f>
        <v>41.269841269841265</v>
      </c>
      <c r="AE12" s="108">
        <f>(Gender!CC13/'Total Doctorates'!AF13)*100</f>
        <v>39.679715302491104</v>
      </c>
      <c r="AF12" s="108">
        <f>(Gender!CD13/'Total Doctorates'!AG13)*100</f>
        <v>43.300653594771241</v>
      </c>
      <c r="AG12" s="108">
        <f>(Gender!CE13/'Total Doctorates'!AH13)*100</f>
        <v>44.665461121157321</v>
      </c>
      <c r="AH12" s="108">
        <f>(Gender!CF13/'Total Doctorates'!AI13)*100</f>
        <v>47.486033519553075</v>
      </c>
      <c r="AI12" s="108">
        <f>(Gender!CG13/'Total Doctorates'!AJ13)*100</f>
        <v>49.083503054989819</v>
      </c>
      <c r="AJ12" s="108">
        <f>(Gender!CH13/'Total Doctorates'!AK13)*100</f>
        <v>50.0875656742557</v>
      </c>
      <c r="AK12" s="108">
        <f>(Gender!CI13/'Total Doctorates'!AL13)*100</f>
        <v>48.57651245551601</v>
      </c>
      <c r="AL12" s="108">
        <f>(Gender!CJ13/'Total Doctorates'!AM13)*100</f>
        <v>47.792706333973129</v>
      </c>
      <c r="AM12" s="108">
        <f>(Gender!CK13/'Total Doctorates'!AN13)*100</f>
        <v>47.254575707154743</v>
      </c>
      <c r="AN12" s="108">
        <f>(Gender!CL13/'Total Doctorates'!AO13)*100</f>
        <v>49.912126537785589</v>
      </c>
      <c r="AO12" s="108">
        <f>(Gender!CM13/'Total Doctorates'!AP13)*100</f>
        <v>48.953301127214175</v>
      </c>
      <c r="AP12" s="108">
        <f>(Gender!CN13/'Total Doctorates'!AQ13)*100</f>
        <v>49.099836333878891</v>
      </c>
      <c r="AQ12" s="108">
        <f>(Gender!CO13/'Total Doctorates'!AR13)*100</f>
        <v>48.717948717948715</v>
      </c>
      <c r="AR12" s="108">
        <f>(Gender!CP13/'Total Doctorates'!AS13)*100</f>
        <v>49.928876244665723</v>
      </c>
      <c r="AS12" s="108">
        <f>(Gender!CQ13/'Total Doctorates'!AT13)*100</f>
        <v>43.105950653120459</v>
      </c>
      <c r="AT12" s="108">
        <f>(Gender!CR13/'Total Doctorates'!AU13)*100</f>
        <v>48.895434462444769</v>
      </c>
      <c r="AU12" s="108">
        <f>(Gender!CS13/'Total Doctorates'!AV13)*100</f>
        <v>48.029197080291972</v>
      </c>
      <c r="AV12" s="108">
        <f>(Gender!CT13/'Total Doctorates'!AW13)*100</f>
        <v>47.206703910614522</v>
      </c>
      <c r="AW12" s="108">
        <f>(Gender!CU13/'Total Doctorates'!AX13)*100</f>
        <v>47.983310152990263</v>
      </c>
      <c r="AX12" s="108">
        <f>(Gender!CV13/'Total Doctorates'!AY13)*100</f>
        <v>54.005934718100889</v>
      </c>
      <c r="AY12" s="108">
        <f>(Gender!CW13/'Total Doctorates'!AZ13)*100</f>
        <v>52.638888888888893</v>
      </c>
    </row>
    <row r="13" spans="1:51">
      <c r="A13" s="37" t="s">
        <v>21</v>
      </c>
      <c r="B13" s="108">
        <f>(Gender!AZ14/'Total Doctorates'!C14)*100</f>
        <v>14.583333333333334</v>
      </c>
      <c r="C13" s="108">
        <f>(Gender!BA14/'Total Doctorates'!D14)*100</f>
        <v>18.478260869565215</v>
      </c>
      <c r="D13" s="108">
        <f>(Gender!BB14/'Total Doctorates'!E14)*100</f>
        <v>17.179902755267424</v>
      </c>
      <c r="E13" s="108">
        <f>(Gender!BC14/'Total Doctorates'!F14)*100</f>
        <v>24.719101123595504</v>
      </c>
      <c r="F13" s="108">
        <f>(Gender!BD14/'Total Doctorates'!G14)*100</f>
        <v>21.917808219178081</v>
      </c>
      <c r="G13" s="108">
        <f>(Gender!BE14/'Total Doctorates'!H14)*100</f>
        <v>24.03697996918336</v>
      </c>
      <c r="H13" s="108">
        <f>(Gender!BF14/'Total Doctorates'!I14)*100</f>
        <v>25.653594771241828</v>
      </c>
      <c r="I13" s="108">
        <f>(Gender!BG14/'Total Doctorates'!J14)*100</f>
        <v>31.395348837209301</v>
      </c>
      <c r="J13" s="108">
        <f>(Gender!BH14/'Total Doctorates'!K14)*100</f>
        <v>33.737024221453289</v>
      </c>
      <c r="K13" s="108">
        <f>(Gender!BI14/'Total Doctorates'!L14)*100</f>
        <v>34.582623509369675</v>
      </c>
      <c r="L13" s="108">
        <f>(Gender!BJ14/'Total Doctorates'!M14)*100</f>
        <v>31.568998109640834</v>
      </c>
      <c r="M13" s="108">
        <f>(Gender!BK14/'Total Doctorates'!N14)*100</f>
        <v>37.542087542087543</v>
      </c>
      <c r="N13" s="108">
        <f>(Gender!BL14/'Total Doctorates'!O14)*100</f>
        <v>41.750841750841751</v>
      </c>
      <c r="O13" s="108">
        <f>(Gender!BM14/'Total Doctorates'!P14)*100</f>
        <v>39.96655518394649</v>
      </c>
      <c r="P13" s="108">
        <f>(Gender!BN14/'Total Doctorates'!Q14)*100</f>
        <v>42.161339421613391</v>
      </c>
      <c r="Q13" s="108">
        <f>(Gender!BO14/'Total Doctorates'!R14)*100</f>
        <v>43.96551724137931</v>
      </c>
      <c r="R13" s="108">
        <f>(Gender!BP14/'Total Doctorates'!S14)*100</f>
        <v>40.874811463046754</v>
      </c>
      <c r="S13" s="108">
        <f>(Gender!BQ14/'Total Doctorates'!T14)*100</f>
        <v>39.420289855072468</v>
      </c>
      <c r="T13" s="108">
        <f>(Gender!BR14/'Total Doctorates'!U14)*100</f>
        <v>42.553191489361701</v>
      </c>
      <c r="U13" s="108">
        <f>(Gender!BS14/'Total Doctorates'!V14)*100</f>
        <v>42.105263157894733</v>
      </c>
      <c r="V13" s="108">
        <f>(Gender!BT14/'Total Doctorates'!W14)*100</f>
        <v>42.034313725490193</v>
      </c>
      <c r="W13" s="108">
        <f>(Gender!BU14/'Total Doctorates'!X14)*100</f>
        <v>43.198090692124104</v>
      </c>
      <c r="X13" s="108">
        <f>(Gender!BV14/'Total Doctorates'!Y14)*100</f>
        <v>40.301724137931032</v>
      </c>
      <c r="Y13" s="108">
        <f>(Gender!BW14/'Total Doctorates'!Z14)*100</f>
        <v>42.044257112750259</v>
      </c>
      <c r="Z13" s="108">
        <f>(Gender!BX14/'Total Doctorates'!AA14)*100</f>
        <v>42.291220556745181</v>
      </c>
      <c r="AA13" s="108">
        <f>(Gender!BY14/'Total Doctorates'!AB14)*100</f>
        <v>42.41733181299886</v>
      </c>
      <c r="AB13" s="108">
        <f>(Gender!BZ14/'Total Doctorates'!AC14)*100</f>
        <v>41.431670281995665</v>
      </c>
      <c r="AC13" s="108">
        <f>(Gender!CA14/'Total Doctorates'!AD14)*100</f>
        <v>43.218623481781378</v>
      </c>
      <c r="AD13" s="108">
        <f>(Gender!CB14/'Total Doctorates'!AE14)*100</f>
        <v>43.417085427135675</v>
      </c>
      <c r="AE13" s="108">
        <f>(Gender!CC14/'Total Doctorates'!AF14)*100</f>
        <v>44.7</v>
      </c>
      <c r="AF13" s="108">
        <f>(Gender!CD14/'Total Doctorates'!AG14)*100</f>
        <v>46.775844421699084</v>
      </c>
      <c r="AG13" s="108">
        <f>(Gender!CE14/'Total Doctorates'!AH14)*100</f>
        <v>44.190871369294605</v>
      </c>
      <c r="AH13" s="108">
        <f>(Gender!CF14/'Total Doctorates'!AI14)*100</f>
        <v>43.724279835390945</v>
      </c>
      <c r="AI13" s="108">
        <f>(Gender!CG14/'Total Doctorates'!AJ14)*100</f>
        <v>49.63880288957688</v>
      </c>
      <c r="AJ13" s="108">
        <f>(Gender!CH14/'Total Doctorates'!AK14)*100</f>
        <v>46.284101599247414</v>
      </c>
      <c r="AK13" s="108">
        <f>(Gender!CI14/'Total Doctorates'!AL14)*100</f>
        <v>50.162866449511398</v>
      </c>
      <c r="AL13" s="108">
        <f>(Gender!CJ14/'Total Doctorates'!AM14)*100</f>
        <v>51.173020527859236</v>
      </c>
      <c r="AM13" s="108">
        <f>(Gender!CK14/'Total Doctorates'!AN14)*100</f>
        <v>49.708029197080293</v>
      </c>
      <c r="AN13" s="108">
        <f>(Gender!CL14/'Total Doctorates'!AO14)*100</f>
        <v>50.513347022587276</v>
      </c>
      <c r="AO13" s="108">
        <f>(Gender!CM14/'Total Doctorates'!AP14)*100</f>
        <v>49.685039370078741</v>
      </c>
      <c r="AP13" s="108">
        <f>(Gender!CN14/'Total Doctorates'!AQ14)*100</f>
        <v>50.348567002323783</v>
      </c>
      <c r="AQ13" s="108">
        <f>(Gender!CO14/'Total Doctorates'!AR14)*100</f>
        <v>48.059006211180119</v>
      </c>
      <c r="AR13" s="108">
        <f>(Gender!CP14/'Total Doctorates'!AS14)*100</f>
        <v>52.36707938820102</v>
      </c>
      <c r="AS13" s="108">
        <f>(Gender!CQ14/'Total Doctorates'!AT14)*100</f>
        <v>51.563539587491682</v>
      </c>
      <c r="AT13" s="108">
        <f>(Gender!CR14/'Total Doctorates'!AU14)*100</f>
        <v>49.529326574945692</v>
      </c>
      <c r="AU13" s="108">
        <f>(Gender!CS14/'Total Doctorates'!AV14)*100</f>
        <v>48.24387011265739</v>
      </c>
      <c r="AV13" s="108">
        <f>(Gender!CT14/'Total Doctorates'!AW14)*100</f>
        <v>47.159090909090914</v>
      </c>
      <c r="AW13" s="108">
        <f>(Gender!CU14/'Total Doctorates'!AX14)*100</f>
        <v>50.863856254319288</v>
      </c>
      <c r="AX13" s="108">
        <f>(Gender!CV14/'Total Doctorates'!AY14)*100</f>
        <v>50.346129641283824</v>
      </c>
      <c r="AY13" s="108">
        <f>(Gender!CW14/'Total Doctorates'!AZ14)*100</f>
        <v>47.332883187035783</v>
      </c>
    </row>
    <row r="14" spans="1:51">
      <c r="A14" s="37" t="s">
        <v>22</v>
      </c>
      <c r="B14" s="108">
        <f>(Gender!AZ15/'Total Doctorates'!C15)*100</f>
        <v>8.9887640449438209</v>
      </c>
      <c r="C14" s="108">
        <f>(Gender!BA15/'Total Doctorates'!D15)*100</f>
        <v>15.111111111111111</v>
      </c>
      <c r="D14" s="108">
        <f>(Gender!BB15/'Total Doctorates'!E15)*100</f>
        <v>18.181818181818183</v>
      </c>
      <c r="E14" s="108">
        <f>(Gender!BC15/'Total Doctorates'!F15)*100</f>
        <v>16.906474820143885</v>
      </c>
      <c r="F14" s="108">
        <f>(Gender!BD15/'Total Doctorates'!G15)*100</f>
        <v>18.257261410788381</v>
      </c>
      <c r="G14" s="108">
        <f>(Gender!BE15/'Total Doctorates'!H15)*100</f>
        <v>20</v>
      </c>
      <c r="H14" s="108">
        <f>(Gender!BF15/'Total Doctorates'!I15)*100</f>
        <v>16.071428571428573</v>
      </c>
      <c r="I14" s="108">
        <f>(Gender!BG15/'Total Doctorates'!J15)*100</f>
        <v>22.10144927536232</v>
      </c>
      <c r="J14" s="108">
        <f>(Gender!BH15/'Total Doctorates'!K15)*100</f>
        <v>20.817843866171003</v>
      </c>
      <c r="K14" s="108">
        <f>(Gender!BI15/'Total Doctorates'!L15)*100</f>
        <v>30.555555555555557</v>
      </c>
      <c r="L14" s="108">
        <f>(Gender!BJ15/'Total Doctorates'!M15)*100</f>
        <v>29.646017699115045</v>
      </c>
      <c r="M14" s="108">
        <f>(Gender!BK15/'Total Doctorates'!N15)*100</f>
        <v>32.780082987551864</v>
      </c>
      <c r="N14" s="108">
        <f>(Gender!BL15/'Total Doctorates'!O15)*100</f>
        <v>31.428571428571427</v>
      </c>
      <c r="O14" s="108">
        <f>(Gender!BM15/'Total Doctorates'!P15)*100</f>
        <v>36.131386861313871</v>
      </c>
      <c r="P14" s="108">
        <f>(Gender!BN15/'Total Doctorates'!Q15)*100</f>
        <v>32.153392330383483</v>
      </c>
      <c r="Q14" s="108">
        <f>(Gender!BO15/'Total Doctorates'!R15)*100</f>
        <v>34.693877551020407</v>
      </c>
      <c r="R14" s="108">
        <f>(Gender!BP15/'Total Doctorates'!S15)*100</f>
        <v>38.805970149253731</v>
      </c>
      <c r="S14" s="108">
        <f>(Gender!BQ15/'Total Doctorates'!T15)*100</f>
        <v>33.455882352941174</v>
      </c>
      <c r="T14" s="108">
        <f>(Gender!BR15/'Total Doctorates'!U15)*100</f>
        <v>36.099585062240664</v>
      </c>
      <c r="U14" s="108">
        <f>(Gender!BS15/'Total Doctorates'!V15)*100</f>
        <v>36.326530612244902</v>
      </c>
      <c r="V14" s="108">
        <f>(Gender!BT15/'Total Doctorates'!W15)*100</f>
        <v>34.8122866894198</v>
      </c>
      <c r="W14" s="108">
        <f>(Gender!BU15/'Total Doctorates'!X15)*100</f>
        <v>37.647058823529413</v>
      </c>
      <c r="X14" s="108">
        <f>(Gender!BV15/'Total Doctorates'!Y15)*100</f>
        <v>31.125827814569533</v>
      </c>
      <c r="Y14" s="108">
        <f>(Gender!BW15/'Total Doctorates'!Z15)*100</f>
        <v>38.943894389438945</v>
      </c>
      <c r="Z14" s="108">
        <f>(Gender!BX15/'Total Doctorates'!AA15)*100</f>
        <v>33.80681818181818</v>
      </c>
      <c r="AA14" s="108">
        <f>(Gender!BY15/'Total Doctorates'!AB15)*100</f>
        <v>35.087719298245609</v>
      </c>
      <c r="AB14" s="108">
        <f>(Gender!BZ15/'Total Doctorates'!AC15)*100</f>
        <v>41.761363636363633</v>
      </c>
      <c r="AC14" s="108">
        <f>(Gender!CA15/'Total Doctorates'!AD15)*100</f>
        <v>38.95705521472393</v>
      </c>
      <c r="AD14" s="108">
        <f>(Gender!CB15/'Total Doctorates'!AE15)*100</f>
        <v>42.165242165242169</v>
      </c>
      <c r="AE14" s="108">
        <f>(Gender!CC15/'Total Doctorates'!AF15)*100</f>
        <v>49.287749287749286</v>
      </c>
      <c r="AF14" s="108">
        <f>(Gender!CD15/'Total Doctorates'!AG15)*100</f>
        <v>46.685878962536023</v>
      </c>
      <c r="AG14" s="108">
        <f>(Gender!CE15/'Total Doctorates'!AH15)*100</f>
        <v>45.481927710843372</v>
      </c>
      <c r="AH14" s="108">
        <f>(Gender!CF15/'Total Doctorates'!AI15)*100</f>
        <v>52.694610778443121</v>
      </c>
      <c r="AI14" s="108">
        <f>(Gender!CG15/'Total Doctorates'!AJ15)*100</f>
        <v>52.941176470588239</v>
      </c>
      <c r="AJ14" s="108">
        <f>(Gender!CH15/'Total Doctorates'!AK15)*100</f>
        <v>54.061624649859944</v>
      </c>
      <c r="AK14" s="108">
        <f>(Gender!CI15/'Total Doctorates'!AL15)*100</f>
        <v>52.010723860589813</v>
      </c>
      <c r="AL14" s="108">
        <f>(Gender!CJ15/'Total Doctorates'!AM15)*100</f>
        <v>48.930481283422459</v>
      </c>
      <c r="AM14" s="108">
        <f>(Gender!CK15/'Total Doctorates'!AN15)*100</f>
        <v>54.691075514874143</v>
      </c>
      <c r="AN14" s="108">
        <f>(Gender!CL15/'Total Doctorates'!AO15)*100</f>
        <v>54.122621564482031</v>
      </c>
      <c r="AO14" s="108">
        <f>(Gender!CM15/'Total Doctorates'!AP15)*100</f>
        <v>51.039260969976908</v>
      </c>
      <c r="AP14" s="108">
        <f>(Gender!CN15/'Total Doctorates'!AQ15)*100</f>
        <v>56.751054852320671</v>
      </c>
      <c r="AQ14" s="108">
        <f>(Gender!CO15/'Total Doctorates'!AR15)*100</f>
        <v>51.521739130434781</v>
      </c>
      <c r="AR14" s="108">
        <f>(Gender!CP15/'Total Doctorates'!AS15)*100</f>
        <v>53.280318091451292</v>
      </c>
      <c r="AS14" s="108">
        <f>(Gender!CQ15/'Total Doctorates'!AT15)*100</f>
        <v>54.878048780487809</v>
      </c>
      <c r="AT14" s="108">
        <f>(Gender!CR15/'Total Doctorates'!AU15)*100</f>
        <v>49.891540130151846</v>
      </c>
      <c r="AU14" s="108">
        <f>(Gender!CS15/'Total Doctorates'!AV15)*100</f>
        <v>58.013937282229968</v>
      </c>
      <c r="AV14" s="108">
        <f>(Gender!CT15/'Total Doctorates'!AW15)*100</f>
        <v>58.305084745762713</v>
      </c>
      <c r="AW14" s="108">
        <f>(Gender!CU15/'Total Doctorates'!AX15)*100</f>
        <v>57.619047619047613</v>
      </c>
      <c r="AX14" s="108">
        <f>(Gender!CV15/'Total Doctorates'!AY15)*100</f>
        <v>53.583061889250814</v>
      </c>
      <c r="AY14" s="108">
        <f>(Gender!CW15/'Total Doctorates'!AZ15)*100</f>
        <v>60.07957559681698</v>
      </c>
    </row>
    <row r="15" spans="1:51">
      <c r="A15" s="37" t="s">
        <v>23</v>
      </c>
      <c r="B15" s="108">
        <f>(Gender!AZ16/'Total Doctorates'!C16)*100</f>
        <v>11.356466876971609</v>
      </c>
      <c r="C15" s="108">
        <f>(Gender!BA16/'Total Doctorates'!D16)*100</f>
        <v>12.309820193637622</v>
      </c>
      <c r="D15" s="108">
        <f>(Gender!BB16/'Total Doctorates'!E16)*100</f>
        <v>15.203145478374836</v>
      </c>
      <c r="E15" s="108">
        <f>(Gender!BC16/'Total Doctorates'!F16)*100</f>
        <v>19.567979669631512</v>
      </c>
      <c r="F15" s="108">
        <f>(Gender!BD16/'Total Doctorates'!G16)*100</f>
        <v>20.145631067961165</v>
      </c>
      <c r="G15" s="108">
        <f>(Gender!BE16/'Total Doctorates'!H16)*100</f>
        <v>20.363636363636363</v>
      </c>
      <c r="H15" s="108">
        <f>(Gender!BF16/'Total Doctorates'!I16)*100</f>
        <v>20.844686648501362</v>
      </c>
      <c r="I15" s="108">
        <f>(Gender!BG16/'Total Doctorates'!J16)*100</f>
        <v>26.815642458100559</v>
      </c>
      <c r="J15" s="108">
        <f>(Gender!BH16/'Total Doctorates'!K16)*100</f>
        <v>27.223719676549869</v>
      </c>
      <c r="K15" s="108">
        <f>(Gender!BI16/'Total Doctorates'!L16)*100</f>
        <v>27.740189445196211</v>
      </c>
      <c r="L15" s="108">
        <f>(Gender!BJ16/'Total Doctorates'!M16)*100</f>
        <v>33.553500660501982</v>
      </c>
      <c r="M15" s="108">
        <f>(Gender!BK16/'Total Doctorates'!N16)*100</f>
        <v>33.053221288515402</v>
      </c>
      <c r="N15" s="108">
        <f>(Gender!BL16/'Total Doctorates'!O16)*100</f>
        <v>32.377049180327873</v>
      </c>
      <c r="O15" s="108">
        <f>(Gender!BM16/'Total Doctorates'!P16)*100</f>
        <v>35.448275862068968</v>
      </c>
      <c r="P15" s="108">
        <f>(Gender!BN16/'Total Doctorates'!Q16)*100</f>
        <v>32.249674902470744</v>
      </c>
      <c r="Q15" s="108">
        <f>(Gender!BO16/'Total Doctorates'!R16)*100</f>
        <v>36.298421807747488</v>
      </c>
      <c r="R15" s="108">
        <f>(Gender!BP16/'Total Doctorates'!S16)*100</f>
        <v>32.403718459495352</v>
      </c>
      <c r="S15" s="108">
        <f>(Gender!BQ16/'Total Doctorates'!T16)*100</f>
        <v>36.167512690355331</v>
      </c>
      <c r="T15" s="108">
        <f>(Gender!BR16/'Total Doctorates'!U16)*100</f>
        <v>34.547738693467338</v>
      </c>
      <c r="U15" s="108">
        <f>(Gender!BS16/'Total Doctorates'!V16)*100</f>
        <v>34.116022099447513</v>
      </c>
      <c r="V15" s="108">
        <f>(Gender!BT16/'Total Doctorates'!W16)*100</f>
        <v>35.772357723577237</v>
      </c>
      <c r="W15" s="108">
        <f>(Gender!BU16/'Total Doctorates'!X16)*100</f>
        <v>38.761467889908261</v>
      </c>
      <c r="X15" s="108">
        <f>(Gender!BV16/'Total Doctorates'!Y16)*100</f>
        <v>38.136511375947997</v>
      </c>
      <c r="Y15" s="108">
        <f>(Gender!BW16/'Total Doctorates'!Z16)*100</f>
        <v>37.142857142857146</v>
      </c>
      <c r="Z15" s="108">
        <f>(Gender!BX16/'Total Doctorates'!AA16)*100</f>
        <v>39.777327935222672</v>
      </c>
      <c r="AA15" s="108">
        <f>(Gender!BY16/'Total Doctorates'!AB16)*100</f>
        <v>39.041095890410958</v>
      </c>
      <c r="AB15" s="108">
        <f>(Gender!BZ16/'Total Doctorates'!AC16)*100</f>
        <v>41.929321872015279</v>
      </c>
      <c r="AC15" s="108">
        <f>(Gender!CA16/'Total Doctorates'!AD16)*100</f>
        <v>46.343692870201096</v>
      </c>
      <c r="AD15" s="108">
        <f>(Gender!CB16/'Total Doctorates'!AE16)*100</f>
        <v>43.028624192059098</v>
      </c>
      <c r="AE15" s="108">
        <f>(Gender!CC16/'Total Doctorates'!AF16)*100</f>
        <v>44.078361531611755</v>
      </c>
      <c r="AF15" s="108">
        <f>(Gender!CD16/'Total Doctorates'!AG16)*100</f>
        <v>46.614583333333329</v>
      </c>
      <c r="AG15" s="108">
        <f>(Gender!CE16/'Total Doctorates'!AH16)*100</f>
        <v>45.044247787610622</v>
      </c>
      <c r="AH15" s="108">
        <f>(Gender!CF16/'Total Doctorates'!AI16)*100</f>
        <v>44.88330341113106</v>
      </c>
      <c r="AI15" s="108">
        <f>(Gender!CG16/'Total Doctorates'!AJ16)*100</f>
        <v>47.715289982425304</v>
      </c>
      <c r="AJ15" s="108">
        <f>(Gender!CH16/'Total Doctorates'!AK16)*100</f>
        <v>48.637820512820511</v>
      </c>
      <c r="AK15" s="108">
        <f>(Gender!CI16/'Total Doctorates'!AL16)*100</f>
        <v>49.003690036900373</v>
      </c>
      <c r="AL15" s="108">
        <f>(Gender!CJ16/'Total Doctorates'!AM16)*100</f>
        <v>47.819971870604782</v>
      </c>
      <c r="AM15" s="108">
        <f>(Gender!CK16/'Total Doctorates'!AN16)*100</f>
        <v>49.664879356568363</v>
      </c>
      <c r="AN15" s="108">
        <f>(Gender!CL16/'Total Doctorates'!AO16)*100</f>
        <v>52.076677316293932</v>
      </c>
      <c r="AO15" s="108">
        <f>(Gender!CM16/'Total Doctorates'!AP16)*100</f>
        <v>52.145015105740178</v>
      </c>
      <c r="AP15" s="108">
        <f>(Gender!CN16/'Total Doctorates'!AQ16)*100</f>
        <v>50.66582117945466</v>
      </c>
      <c r="AQ15" s="108">
        <f>(Gender!CO16/'Total Doctorates'!AR16)*100</f>
        <v>51.835985312117508</v>
      </c>
      <c r="AR15" s="108">
        <f>(Gender!CP16/'Total Doctorates'!AS16)*100</f>
        <v>53.571428571428569</v>
      </c>
      <c r="AS15" s="108">
        <f>(Gender!CQ16/'Total Doctorates'!AT16)*100</f>
        <v>51.134122287968445</v>
      </c>
      <c r="AT15" s="108">
        <f>(Gender!CR16/'Total Doctorates'!AU16)*100</f>
        <v>53.494874184529365</v>
      </c>
      <c r="AU15" s="108">
        <f>(Gender!CS16/'Total Doctorates'!AV16)*100</f>
        <v>52.476190476190474</v>
      </c>
      <c r="AV15" s="108">
        <f>(Gender!CT16/'Total Doctorates'!AW16)*100</f>
        <v>51.548672566371678</v>
      </c>
      <c r="AW15" s="108">
        <f>(Gender!CU16/'Total Doctorates'!AX16)*100</f>
        <v>51.837218490715131</v>
      </c>
      <c r="AX15" s="108">
        <f>(Gender!CV16/'Total Doctorates'!AY16)*100</f>
        <v>52.529021558872302</v>
      </c>
      <c r="AY15" s="108">
        <f>(Gender!CW16/'Total Doctorates'!AZ16)*100</f>
        <v>52.910266774454328</v>
      </c>
    </row>
    <row r="16" spans="1:51">
      <c r="A16" s="37" t="s">
        <v>24</v>
      </c>
      <c r="B16" s="108">
        <f>(Gender!AZ17/'Total Doctorates'!C17)*100</f>
        <v>12.190082644628099</v>
      </c>
      <c r="C16" s="108">
        <f>(Gender!BA17/'Total Doctorates'!D17)*100</f>
        <v>10.278372591006423</v>
      </c>
      <c r="D16" s="108">
        <f>(Gender!BB17/'Total Doctorates'!E17)*100</f>
        <v>11.787819253438114</v>
      </c>
      <c r="E16" s="108">
        <f>(Gender!BC17/'Total Doctorates'!F17)*100</f>
        <v>12.871287128712872</v>
      </c>
      <c r="F16" s="108">
        <f>(Gender!BD17/'Total Doctorates'!G17)*100</f>
        <v>14.767932489451477</v>
      </c>
      <c r="G16" s="108">
        <f>(Gender!BE17/'Total Doctorates'!H17)*100</f>
        <v>22.289156626506024</v>
      </c>
      <c r="H16" s="108">
        <f>(Gender!BF17/'Total Doctorates'!I17)*100</f>
        <v>20.673076923076923</v>
      </c>
      <c r="I16" s="108">
        <f>(Gender!BG17/'Total Doctorates'!J17)*100</f>
        <v>22.167487684729064</v>
      </c>
      <c r="J16" s="108">
        <f>(Gender!BH17/'Total Doctorates'!K17)*100</f>
        <v>26.153846153846157</v>
      </c>
      <c r="K16" s="108">
        <f>(Gender!BI17/'Total Doctorates'!L17)*100</f>
        <v>24.703087885985749</v>
      </c>
      <c r="L16" s="108">
        <f>(Gender!BJ17/'Total Doctorates'!M17)*100</f>
        <v>24.933687002652519</v>
      </c>
      <c r="M16" s="108">
        <f>(Gender!BK17/'Total Doctorates'!N17)*100</f>
        <v>25.857519788918204</v>
      </c>
      <c r="N16" s="108">
        <f>(Gender!BL17/'Total Doctorates'!O17)*100</f>
        <v>33.149171270718227</v>
      </c>
      <c r="O16" s="108">
        <f>(Gender!BM17/'Total Doctorates'!P17)*100</f>
        <v>34.814814814814817</v>
      </c>
      <c r="P16" s="108">
        <f>(Gender!BN17/'Total Doctorates'!Q17)*100</f>
        <v>33.975903614457827</v>
      </c>
      <c r="Q16" s="108">
        <f>(Gender!BO17/'Total Doctorates'!R17)*100</f>
        <v>30.198019801980198</v>
      </c>
      <c r="R16" s="108">
        <f>(Gender!BP17/'Total Doctorates'!S17)*100</f>
        <v>38.106796116504853</v>
      </c>
      <c r="S16" s="108">
        <f>(Gender!BQ17/'Total Doctorates'!T17)*100</f>
        <v>40.058479532163744</v>
      </c>
      <c r="T16" s="108">
        <f>(Gender!BR17/'Total Doctorates'!U17)*100</f>
        <v>36.676217765042978</v>
      </c>
      <c r="U16" s="108">
        <f>(Gender!BS17/'Total Doctorates'!V17)*100</f>
        <v>39.385474860335194</v>
      </c>
      <c r="V16" s="108">
        <f>(Gender!BT17/'Total Doctorates'!W17)*100</f>
        <v>35.784313725490193</v>
      </c>
      <c r="W16" s="108">
        <f>(Gender!BU17/'Total Doctorates'!X17)*100</f>
        <v>40.526315789473685</v>
      </c>
      <c r="X16" s="108">
        <f>(Gender!BV17/'Total Doctorates'!Y17)*100</f>
        <v>34.924623115577887</v>
      </c>
      <c r="Y16" s="108">
        <f>(Gender!BW17/'Total Doctorates'!Z17)*100</f>
        <v>40.625</v>
      </c>
      <c r="Z16" s="108">
        <f>(Gender!BX17/'Total Doctorates'!AA17)*100</f>
        <v>34.366925064599485</v>
      </c>
      <c r="AA16" s="108">
        <f>(Gender!BY17/'Total Doctorates'!AB17)*100</f>
        <v>42.512077294685987</v>
      </c>
      <c r="AB16" s="108">
        <f>(Gender!BZ17/'Total Doctorates'!AC17)*100</f>
        <v>37.150837988826815</v>
      </c>
      <c r="AC16" s="108">
        <f>(Gender!CA17/'Total Doctorates'!AD17)*100</f>
        <v>37.946428571428569</v>
      </c>
      <c r="AD16" s="108">
        <f>(Gender!CB17/'Total Doctorates'!AE17)*100</f>
        <v>38.292682926829272</v>
      </c>
      <c r="AE16" s="108">
        <f>(Gender!CC17/'Total Doctorates'!AF17)*100</f>
        <v>38.461538461538467</v>
      </c>
      <c r="AF16" s="108">
        <f>(Gender!CD17/'Total Doctorates'!AG17)*100</f>
        <v>42.33409610983982</v>
      </c>
      <c r="AG16" s="108">
        <f>(Gender!CE17/'Total Doctorates'!AH17)*100</f>
        <v>39.285714285714285</v>
      </c>
      <c r="AH16" s="108">
        <f>(Gender!CF17/'Total Doctorates'!AI17)*100</f>
        <v>43.052391799544424</v>
      </c>
      <c r="AI16" s="108">
        <f>(Gender!CG17/'Total Doctorates'!AJ17)*100</f>
        <v>41.346153846153847</v>
      </c>
      <c r="AJ16" s="108">
        <f>(Gender!CH17/'Total Doctorates'!AK17)*100</f>
        <v>38.557213930348261</v>
      </c>
      <c r="AK16" s="108">
        <f>(Gender!CI17/'Total Doctorates'!AL17)*100</f>
        <v>42.130750605326881</v>
      </c>
      <c r="AL16" s="108">
        <f>(Gender!CJ17/'Total Doctorates'!AM17)*100</f>
        <v>40.420560747663551</v>
      </c>
      <c r="AM16" s="108">
        <f>(Gender!CK17/'Total Doctorates'!AN17)*100</f>
        <v>42.424242424242422</v>
      </c>
      <c r="AN16" s="108">
        <f>(Gender!CL17/'Total Doctorates'!AO17)*100</f>
        <v>43.03178484107579</v>
      </c>
      <c r="AO16" s="108">
        <f>(Gender!CM17/'Total Doctorates'!AP17)*100</f>
        <v>45.594713656387661</v>
      </c>
      <c r="AP16" s="108">
        <f>(Gender!CN17/'Total Doctorates'!AQ17)*100</f>
        <v>50.414937759336098</v>
      </c>
      <c r="AQ16" s="108">
        <f>(Gender!CO17/'Total Doctorates'!AR17)*100</f>
        <v>45.138888888888893</v>
      </c>
      <c r="AR16" s="108">
        <f>(Gender!CP17/'Total Doctorates'!AS17)*100</f>
        <v>43.558282208588956</v>
      </c>
      <c r="AS16" s="108">
        <f>(Gender!CQ17/'Total Doctorates'!AT17)*100</f>
        <v>44.315992292870902</v>
      </c>
      <c r="AT16" s="108">
        <f>(Gender!CR17/'Total Doctorates'!AU17)*100</f>
        <v>47.55877034358047</v>
      </c>
      <c r="AU16" s="108">
        <f>(Gender!CS17/'Total Doctorates'!AV17)*100</f>
        <v>43.278084714548804</v>
      </c>
      <c r="AV16" s="108">
        <f>(Gender!CT17/'Total Doctorates'!AW17)*100</f>
        <v>46.459412780656308</v>
      </c>
      <c r="AW16" s="108">
        <f>(Gender!CU17/'Total Doctorates'!AX17)*100</f>
        <v>46.560846560846556</v>
      </c>
      <c r="AX16" s="108">
        <f>(Gender!CV17/'Total Doctorates'!AY17)*100</f>
        <v>50</v>
      </c>
      <c r="AY16" s="108">
        <f>(Gender!CW17/'Total Doctorates'!AZ17)*100</f>
        <v>43.828264758497312</v>
      </c>
    </row>
    <row r="17" spans="1:51">
      <c r="A17" s="37" t="s">
        <v>25</v>
      </c>
      <c r="B17" s="108">
        <f>(Gender!AZ18/'Total Doctorates'!C18)*100</f>
        <v>8.695652173913043</v>
      </c>
      <c r="C17" s="108">
        <f>(Gender!BA18/'Total Doctorates'!D18)*100</f>
        <v>9.6</v>
      </c>
      <c r="D17" s="108">
        <f>(Gender!BB18/'Total Doctorates'!E18)*100</f>
        <v>2.3076923076923079</v>
      </c>
      <c r="E17" s="108">
        <f>(Gender!BC18/'Total Doctorates'!F18)*100</f>
        <v>15.079365079365079</v>
      </c>
      <c r="F17" s="108">
        <f>(Gender!BD18/'Total Doctorates'!G18)*100</f>
        <v>14.17910447761194</v>
      </c>
      <c r="G17" s="108">
        <f>(Gender!BE18/'Total Doctorates'!H18)*100</f>
        <v>16.666666666666664</v>
      </c>
      <c r="H17" s="108">
        <f>(Gender!BF18/'Total Doctorates'!I18)*100</f>
        <v>24.154589371980677</v>
      </c>
      <c r="I17" s="108">
        <f>(Gender!BG18/'Total Doctorates'!J18)*100</f>
        <v>21.839080459770116</v>
      </c>
      <c r="J17" s="108">
        <f>(Gender!BH18/'Total Doctorates'!K18)*100</f>
        <v>24.242424242424242</v>
      </c>
      <c r="K17" s="108">
        <f>(Gender!BI18/'Total Doctorates'!L18)*100</f>
        <v>32.599118942731273</v>
      </c>
      <c r="L17" s="108">
        <f>(Gender!BJ18/'Total Doctorates'!M18)*100</f>
        <v>28.272251308900525</v>
      </c>
      <c r="M17" s="108">
        <f>(Gender!BK18/'Total Doctorates'!N18)*100</f>
        <v>35.204081632653065</v>
      </c>
      <c r="N17" s="108">
        <f>(Gender!BL18/'Total Doctorates'!O18)*100</f>
        <v>31.40096618357488</v>
      </c>
      <c r="O17" s="108">
        <f>(Gender!BM18/'Total Doctorates'!P18)*100</f>
        <v>26.570048309178745</v>
      </c>
      <c r="P17" s="108">
        <f>(Gender!BN18/'Total Doctorates'!Q18)*100</f>
        <v>38.942307692307693</v>
      </c>
      <c r="Q17" s="108">
        <f>(Gender!BO18/'Total Doctorates'!R18)*100</f>
        <v>29.464285714285715</v>
      </c>
      <c r="R17" s="108">
        <f>(Gender!BP18/'Total Doctorates'!S18)*100</f>
        <v>30.620155038759687</v>
      </c>
      <c r="S17" s="108">
        <f>(Gender!BQ18/'Total Doctorates'!T18)*100</f>
        <v>33.458646616541351</v>
      </c>
      <c r="T17" s="108">
        <f>(Gender!BR18/'Total Doctorates'!U18)*100</f>
        <v>35.099337748344375</v>
      </c>
      <c r="U17" s="108">
        <f>(Gender!BS18/'Total Doctorates'!V18)*100</f>
        <v>33.458646616541351</v>
      </c>
      <c r="V17" s="108">
        <f>(Gender!BT18/'Total Doctorates'!W18)*100</f>
        <v>32.748538011695906</v>
      </c>
      <c r="W17" s="108">
        <f>(Gender!BU18/'Total Doctorates'!X18)*100</f>
        <v>35.945945945945944</v>
      </c>
      <c r="X17" s="108">
        <f>(Gender!BV18/'Total Doctorates'!Y18)*100</f>
        <v>39.572192513368989</v>
      </c>
      <c r="Y17" s="108">
        <f>(Gender!BW18/'Total Doctorates'!Z18)*100</f>
        <v>39.950980392156865</v>
      </c>
      <c r="Z17" s="108">
        <f>(Gender!BX18/'Total Doctorates'!AA18)*100</f>
        <v>40.74074074074074</v>
      </c>
      <c r="AA17" s="108">
        <f>(Gender!BY18/'Total Doctorates'!AB18)*100</f>
        <v>38.107416879795394</v>
      </c>
      <c r="AB17" s="108">
        <f>(Gender!BZ18/'Total Doctorates'!AC18)*100</f>
        <v>44.137931034482762</v>
      </c>
      <c r="AC17" s="108">
        <f>(Gender!CA18/'Total Doctorates'!AD18)*100</f>
        <v>40.831295843520785</v>
      </c>
      <c r="AD17" s="108">
        <f>(Gender!CB18/'Total Doctorates'!AE18)*100</f>
        <v>44.554455445544555</v>
      </c>
      <c r="AE17" s="108">
        <f>(Gender!CC18/'Total Doctorates'!AF18)*100</f>
        <v>40.090090090090094</v>
      </c>
      <c r="AF17" s="108">
        <f>(Gender!CD18/'Total Doctorates'!AG18)*100</f>
        <v>44.755244755244753</v>
      </c>
      <c r="AG17" s="108">
        <f>(Gender!CE18/'Total Doctorates'!AH18)*100</f>
        <v>45.107398568019093</v>
      </c>
      <c r="AH17" s="108">
        <f>(Gender!CF18/'Total Doctorates'!AI18)*100</f>
        <v>46.993318485523382</v>
      </c>
      <c r="AI17" s="108">
        <f>(Gender!CG18/'Total Doctorates'!AJ18)*100</f>
        <v>44.626168224299064</v>
      </c>
      <c r="AJ17" s="108">
        <f>(Gender!CH18/'Total Doctorates'!AK18)*100</f>
        <v>46.527777777777779</v>
      </c>
      <c r="AK17" s="108">
        <f>(Gender!CI18/'Total Doctorates'!AL18)*100</f>
        <v>40.987124463519315</v>
      </c>
      <c r="AL17" s="108">
        <f>(Gender!CJ18/'Total Doctorates'!AM18)*100</f>
        <v>44.444444444444443</v>
      </c>
      <c r="AM17" s="108">
        <f>(Gender!CK18/'Total Doctorates'!AN18)*100</f>
        <v>49.4824016563147</v>
      </c>
      <c r="AN17" s="108">
        <f>(Gender!CL18/'Total Doctorates'!AO18)*100</f>
        <v>50.414593698175793</v>
      </c>
      <c r="AO17" s="108">
        <f>(Gender!CM18/'Total Doctorates'!AP18)*100</f>
        <v>50.590219224283302</v>
      </c>
      <c r="AP17" s="108">
        <f>(Gender!CN18/'Total Doctorates'!AQ18)*100</f>
        <v>49.653979238754324</v>
      </c>
      <c r="AQ17" s="108">
        <f>(Gender!CO18/'Total Doctorates'!AR18)*100</f>
        <v>50.468749999999993</v>
      </c>
      <c r="AR17" s="108">
        <f>(Gender!CP18/'Total Doctorates'!AS18)*100</f>
        <v>52.030075187969928</v>
      </c>
      <c r="AS17" s="108">
        <f>(Gender!CQ18/'Total Doctorates'!AT18)*100</f>
        <v>53.212290502793294</v>
      </c>
      <c r="AT17" s="108">
        <f>(Gender!CR18/'Total Doctorates'!AU18)*100</f>
        <v>50.783289817232379</v>
      </c>
      <c r="AU17" s="108">
        <f>(Gender!CS18/'Total Doctorates'!AV18)*100</f>
        <v>52.71049596309112</v>
      </c>
      <c r="AV17" s="108">
        <f>(Gender!CT18/'Total Doctorates'!AW18)*100</f>
        <v>53.5</v>
      </c>
      <c r="AW17" s="108">
        <f>(Gender!CU18/'Total Doctorates'!AX18)*100</f>
        <v>52.736982643524698</v>
      </c>
      <c r="AX17" s="108">
        <f>(Gender!CV18/'Total Doctorates'!AY18)*100</f>
        <v>52.818627450980394</v>
      </c>
      <c r="AY17" s="108">
        <f>(Gender!CW18/'Total Doctorates'!AZ18)*100</f>
        <v>52.758620689655174</v>
      </c>
    </row>
    <row r="18" spans="1:51">
      <c r="A18" s="37" t="s">
        <v>26</v>
      </c>
      <c r="B18" s="108">
        <f>(Gender!AZ19/'Total Doctorates'!C19)*100</f>
        <v>10.840707964601769</v>
      </c>
      <c r="C18" s="108">
        <f>(Gender!BA19/'Total Doctorates'!D19)*100</f>
        <v>9.5041322314049594</v>
      </c>
      <c r="D18" s="108">
        <f>(Gender!BB19/'Total Doctorates'!E19)*100</f>
        <v>11.83206106870229</v>
      </c>
      <c r="E18" s="108">
        <f>(Gender!BC19/'Total Doctorates'!F19)*100</f>
        <v>15.686274509803921</v>
      </c>
      <c r="F18" s="108">
        <f>(Gender!BD19/'Total Doctorates'!G19)*100</f>
        <v>20.87719298245614</v>
      </c>
      <c r="G18" s="108">
        <f>(Gender!BE19/'Total Doctorates'!H19)*100</f>
        <v>21.453287197231834</v>
      </c>
      <c r="H18" s="108">
        <f>(Gender!BF19/'Total Doctorates'!I19)*100</f>
        <v>25.811965811965816</v>
      </c>
      <c r="I18" s="108">
        <f>(Gender!BG19/'Total Doctorates'!J19)*100</f>
        <v>31.754385964912281</v>
      </c>
      <c r="J18" s="108">
        <f>(Gender!BH19/'Total Doctorates'!K19)*100</f>
        <v>32.163742690058477</v>
      </c>
      <c r="K18" s="108">
        <f>(Gender!BI19/'Total Doctorates'!L19)*100</f>
        <v>29.380530973451329</v>
      </c>
      <c r="L18" s="108">
        <f>(Gender!BJ19/'Total Doctorates'!M19)*100</f>
        <v>32.11009174311927</v>
      </c>
      <c r="M18" s="108">
        <f>(Gender!BK19/'Total Doctorates'!N19)*100</f>
        <v>36.423841059602644</v>
      </c>
      <c r="N18" s="108">
        <f>(Gender!BL19/'Total Doctorates'!O19)*100</f>
        <v>37.264957264957268</v>
      </c>
      <c r="O18" s="108">
        <f>(Gender!BM19/'Total Doctorates'!P19)*100</f>
        <v>38.290598290598297</v>
      </c>
      <c r="P18" s="108">
        <f>(Gender!BN19/'Total Doctorates'!Q19)*100</f>
        <v>38.338658146964853</v>
      </c>
      <c r="Q18" s="108">
        <f>(Gender!BO19/'Total Doctorates'!R19)*100</f>
        <v>38.795986622073578</v>
      </c>
      <c r="R18" s="108">
        <f>(Gender!BP19/'Total Doctorates'!S19)*100</f>
        <v>40.88669950738916</v>
      </c>
      <c r="S18" s="108">
        <f>(Gender!BQ19/'Total Doctorates'!T19)*100</f>
        <v>42.1875</v>
      </c>
      <c r="T18" s="108">
        <f>(Gender!BR19/'Total Doctorates'!U19)*100</f>
        <v>35</v>
      </c>
      <c r="U18" s="108">
        <f>(Gender!BS19/'Total Doctorates'!V19)*100</f>
        <v>45.876288659793815</v>
      </c>
      <c r="V18" s="108">
        <f>(Gender!BT19/'Total Doctorates'!W19)*100</f>
        <v>43.450479233226837</v>
      </c>
      <c r="W18" s="108">
        <f>(Gender!BU19/'Total Doctorates'!X19)*100</f>
        <v>45.171339563862929</v>
      </c>
      <c r="X18" s="108">
        <f>(Gender!BV19/'Total Doctorates'!Y19)*100</f>
        <v>44.264507422402161</v>
      </c>
      <c r="Y18" s="108">
        <f>(Gender!BW19/'Total Doctorates'!Z19)*100</f>
        <v>44.105409153952849</v>
      </c>
      <c r="Z18" s="108">
        <f>(Gender!BX19/'Total Doctorates'!AA19)*100</f>
        <v>42.113095238095241</v>
      </c>
      <c r="AA18" s="108">
        <f>(Gender!BY19/'Total Doctorates'!AB19)*100</f>
        <v>39.248120300751879</v>
      </c>
      <c r="AB18" s="108">
        <f>(Gender!BZ19/'Total Doctorates'!AC19)*100</f>
        <v>42.307692307692307</v>
      </c>
      <c r="AC18" s="108">
        <f>(Gender!CA19/'Total Doctorates'!AD19)*100</f>
        <v>45.113788487282463</v>
      </c>
      <c r="AD18" s="108">
        <f>(Gender!CB19/'Total Doctorates'!AE19)*100</f>
        <v>42.503639010189225</v>
      </c>
      <c r="AE18" s="108">
        <f>(Gender!CC19/'Total Doctorates'!AF19)*100</f>
        <v>45.280235988200587</v>
      </c>
      <c r="AF18" s="108">
        <f>(Gender!CD19/'Total Doctorates'!AG19)*100</f>
        <v>49.171270718232044</v>
      </c>
      <c r="AG18" s="108">
        <f>(Gender!CE19/'Total Doctorates'!AH19)*100</f>
        <v>46.544980443285525</v>
      </c>
      <c r="AH18" s="108">
        <f>(Gender!CF19/'Total Doctorates'!AI19)*100</f>
        <v>51.600512163892439</v>
      </c>
      <c r="AI18" s="108">
        <f>(Gender!CG19/'Total Doctorates'!AJ19)*100</f>
        <v>52.097428958051417</v>
      </c>
      <c r="AJ18" s="108">
        <f>(Gender!CH19/'Total Doctorates'!AK19)*100</f>
        <v>56.38297872340425</v>
      </c>
      <c r="AK18" s="108">
        <f>(Gender!CI19/'Total Doctorates'!AL19)*100</f>
        <v>54.320987654320987</v>
      </c>
      <c r="AL18" s="108">
        <f>(Gender!CJ19/'Total Doctorates'!AM19)*100</f>
        <v>53.579175704989154</v>
      </c>
      <c r="AM18" s="108">
        <f>(Gender!CK19/'Total Doctorates'!AN19)*100</f>
        <v>54.13461538461538</v>
      </c>
      <c r="AN18" s="108">
        <f>(Gender!CL19/'Total Doctorates'!AO19)*100</f>
        <v>52.741228070175438</v>
      </c>
      <c r="AO18" s="108">
        <f>(Gender!CM19/'Total Doctorates'!AP19)*100</f>
        <v>52.791380999020568</v>
      </c>
      <c r="AP18" s="108">
        <f>(Gender!CN19/'Total Doctorates'!AQ19)*100</f>
        <v>56.349206349206348</v>
      </c>
      <c r="AQ18" s="108">
        <f>(Gender!CO19/'Total Doctorates'!AR19)*100</f>
        <v>53.759094583670176</v>
      </c>
      <c r="AR18" s="108">
        <f>(Gender!CP19/'Total Doctorates'!AS19)*100</f>
        <v>55.961705831157524</v>
      </c>
      <c r="AS18" s="108">
        <f>(Gender!CQ19/'Total Doctorates'!AT19)*100</f>
        <v>55.690072639225185</v>
      </c>
      <c r="AT18" s="108">
        <f>(Gender!CR19/'Total Doctorates'!AU19)*100</f>
        <v>50.415094339622648</v>
      </c>
      <c r="AU18" s="108">
        <f>(Gender!CS19/'Total Doctorates'!AV19)*100</f>
        <v>56.321839080459768</v>
      </c>
      <c r="AV18" s="108">
        <f>(Gender!CT19/'Total Doctorates'!AW19)*100</f>
        <v>54.365620736698496</v>
      </c>
      <c r="AW18" s="108">
        <f>(Gender!CU19/'Total Doctorates'!AX19)*100</f>
        <v>56.189903846153847</v>
      </c>
      <c r="AX18" s="108">
        <f>(Gender!CV19/'Total Doctorates'!AY19)*100</f>
        <v>55.958862673926191</v>
      </c>
      <c r="AY18" s="108">
        <f>(Gender!CW19/'Total Doctorates'!AZ19)*100</f>
        <v>57.617896009673522</v>
      </c>
    </row>
    <row r="19" spans="1:51">
      <c r="A19" s="37" t="s">
        <v>27</v>
      </c>
      <c r="B19" s="108">
        <f>(Gender!AZ20/'Total Doctorates'!C20)*100</f>
        <v>12.570507655116842</v>
      </c>
      <c r="C19" s="108">
        <f>(Gender!BA20/'Total Doctorates'!D20)*100</f>
        <v>15.463917525773196</v>
      </c>
      <c r="D19" s="108">
        <f>(Gender!BB20/'Total Doctorates'!E20)*100</f>
        <v>16.815374056280028</v>
      </c>
      <c r="E19" s="108">
        <f>(Gender!BC20/'Total Doctorates'!F20)*100</f>
        <v>20.054200542005422</v>
      </c>
      <c r="F19" s="108">
        <f>(Gender!BD20/'Total Doctorates'!G20)*100</f>
        <v>18.909825033647376</v>
      </c>
      <c r="G19" s="108">
        <f>(Gender!BE20/'Total Doctorates'!H20)*100</f>
        <v>21.609344581440624</v>
      </c>
      <c r="H19" s="108">
        <f>(Gender!BF20/'Total Doctorates'!I20)*100</f>
        <v>22.303595206391478</v>
      </c>
      <c r="I19" s="108">
        <f>(Gender!BG20/'Total Doctorates'!J20)*100</f>
        <v>22.821316614420063</v>
      </c>
      <c r="J19" s="108">
        <f>(Gender!BH20/'Total Doctorates'!K20)*100</f>
        <v>26.298268974700399</v>
      </c>
      <c r="K19" s="108">
        <f>(Gender!BI20/'Total Doctorates'!L20)*100</f>
        <v>28.411910669975189</v>
      </c>
      <c r="L19" s="108">
        <f>(Gender!BJ20/'Total Doctorates'!M20)*100</f>
        <v>30.602409638554217</v>
      </c>
      <c r="M19" s="108">
        <f>(Gender!BK20/'Total Doctorates'!N20)*100</f>
        <v>29.891614375356536</v>
      </c>
      <c r="N19" s="108">
        <f>(Gender!BL20/'Total Doctorates'!O20)*100</f>
        <v>32.551143200962699</v>
      </c>
      <c r="O19" s="108">
        <f>(Gender!BM20/'Total Doctorates'!P20)*100</f>
        <v>33.174224343675419</v>
      </c>
      <c r="P19" s="108">
        <f>(Gender!BN20/'Total Doctorates'!Q20)*100</f>
        <v>34.676974047487576</v>
      </c>
      <c r="Q19" s="108">
        <f>(Gender!BO20/'Total Doctorates'!R20)*100</f>
        <v>34.910277324632958</v>
      </c>
      <c r="R19" s="108">
        <f>(Gender!BP20/'Total Doctorates'!S20)*100</f>
        <v>35.035389282103132</v>
      </c>
      <c r="S19" s="108">
        <f>(Gender!BQ20/'Total Doctorates'!T20)*100</f>
        <v>34.583934583934585</v>
      </c>
      <c r="T19" s="108">
        <f>(Gender!BR20/'Total Doctorates'!U20)*100</f>
        <v>34.49443638122883</v>
      </c>
      <c r="U19" s="108">
        <f>(Gender!BS20/'Total Doctorates'!V20)*100</f>
        <v>37.955513487931853</v>
      </c>
      <c r="V19" s="108">
        <f>(Gender!BT20/'Total Doctorates'!W20)*100</f>
        <v>37.742504409171076</v>
      </c>
      <c r="W19" s="108">
        <f>(Gender!BU20/'Total Doctorates'!X20)*100</f>
        <v>36.284722222222221</v>
      </c>
      <c r="X19" s="108">
        <f>(Gender!BV20/'Total Doctorates'!Y20)*100</f>
        <v>34.66344216041918</v>
      </c>
      <c r="Y19" s="108">
        <f>(Gender!BW20/'Total Doctorates'!Z20)*100</f>
        <v>36.09583660644148</v>
      </c>
      <c r="Z19" s="108">
        <f>(Gender!BX20/'Total Doctorates'!AA20)*100</f>
        <v>37.811127379209367</v>
      </c>
      <c r="AA19" s="108">
        <f>(Gender!BY20/'Total Doctorates'!AB20)*100</f>
        <v>35.056839017235056</v>
      </c>
      <c r="AB19" s="108">
        <f>(Gender!BZ20/'Total Doctorates'!AC20)*100</f>
        <v>36.103351955307261</v>
      </c>
      <c r="AC19" s="108">
        <f>(Gender!CA20/'Total Doctorates'!AD20)*100</f>
        <v>39.359430604982201</v>
      </c>
      <c r="AD19" s="108">
        <f>(Gender!CB20/'Total Doctorates'!AE20)*100</f>
        <v>39.360568383658965</v>
      </c>
      <c r="AE19" s="108">
        <f>(Gender!CC20/'Total Doctorates'!AF20)*100</f>
        <v>40.952732644017722</v>
      </c>
      <c r="AF19" s="108">
        <f>(Gender!CD20/'Total Doctorates'!AG20)*100</f>
        <v>40.9209060527293</v>
      </c>
      <c r="AG19" s="108">
        <f>(Gender!CE20/'Total Doctorates'!AH20)*100</f>
        <v>43.604651162790695</v>
      </c>
      <c r="AH19" s="108">
        <f>(Gender!CF20/'Total Doctorates'!AI20)*100</f>
        <v>45.1953125</v>
      </c>
      <c r="AI19" s="108">
        <f>(Gender!CG20/'Total Doctorates'!AJ20)*100</f>
        <v>44.724770642201833</v>
      </c>
      <c r="AJ19" s="108">
        <f>(Gender!CH20/'Total Doctorates'!AK20)*100</f>
        <v>43.677325581395351</v>
      </c>
      <c r="AK19" s="108">
        <f>(Gender!CI20/'Total Doctorates'!AL20)*100</f>
        <v>44.317417619367852</v>
      </c>
      <c r="AL19" s="108">
        <f>(Gender!CJ20/'Total Doctorates'!AM20)*100</f>
        <v>45.301280049953171</v>
      </c>
      <c r="AM19" s="108">
        <f>(Gender!CK20/'Total Doctorates'!AN20)*100</f>
        <v>44.294003868471954</v>
      </c>
      <c r="AN19" s="108">
        <f>(Gender!CL20/'Total Doctorates'!AO20)*100</f>
        <v>44.827586206896555</v>
      </c>
      <c r="AO19" s="108">
        <f>(Gender!CM20/'Total Doctorates'!AP20)*100</f>
        <v>46.556690233045302</v>
      </c>
      <c r="AP19" s="108">
        <f>(Gender!CN20/'Total Doctorates'!AQ20)*100</f>
        <v>46.228239845261122</v>
      </c>
      <c r="AQ19" s="108">
        <f>(Gender!CO20/'Total Doctorates'!AR20)*100</f>
        <v>46.322172422884265</v>
      </c>
      <c r="AR19" s="108">
        <f>(Gender!CP20/'Total Doctorates'!AS20)*100</f>
        <v>45.095693779904309</v>
      </c>
      <c r="AS19" s="108">
        <f>(Gender!CQ20/'Total Doctorates'!AT20)*100</f>
        <v>46.781609195402297</v>
      </c>
      <c r="AT19" s="108">
        <f>(Gender!CR20/'Total Doctorates'!AU20)*100</f>
        <v>47.527706734867856</v>
      </c>
      <c r="AU19" s="108">
        <f>(Gender!CS20/'Total Doctorates'!AV20)*100</f>
        <v>47.126673532440783</v>
      </c>
      <c r="AV19" s="108">
        <f>(Gender!CT20/'Total Doctorates'!AW20)*100</f>
        <v>47.660455486542439</v>
      </c>
      <c r="AW19" s="108">
        <f>(Gender!CU20/'Total Doctorates'!AX20)*100</f>
        <v>47.554567502021015</v>
      </c>
      <c r="AX19" s="108">
        <f>(Gender!CV20/'Total Doctorates'!AY20)*100</f>
        <v>47.079856972586413</v>
      </c>
      <c r="AY19" s="108">
        <f>(Gender!CW20/'Total Doctorates'!AZ20)*100</f>
        <v>48.640483383685797</v>
      </c>
    </row>
    <row r="20" spans="1:51">
      <c r="A20" s="37" t="s">
        <v>28</v>
      </c>
      <c r="B20" s="108">
        <f>(Gender!AZ21/'Total Doctorates'!C21)*100</f>
        <v>7.18954248366013</v>
      </c>
      <c r="C20" s="108">
        <f>(Gender!BA21/'Total Doctorates'!D21)*100</f>
        <v>9.408602150537634</v>
      </c>
      <c r="D20" s="108">
        <f>(Gender!BB21/'Total Doctorates'!E21)*100</f>
        <v>8.761329305135952</v>
      </c>
      <c r="E20" s="108">
        <f>(Gender!BC21/'Total Doctorates'!F21)*100</f>
        <v>12.776412776412776</v>
      </c>
      <c r="F20" s="108">
        <f>(Gender!BD21/'Total Doctorates'!G21)*100</f>
        <v>13.572854291417165</v>
      </c>
      <c r="G20" s="108">
        <f>(Gender!BE21/'Total Doctorates'!H21)*100</f>
        <v>16.910229645093946</v>
      </c>
      <c r="H20" s="108">
        <f>(Gender!BF21/'Total Doctorates'!I21)*100</f>
        <v>20.973782771535582</v>
      </c>
      <c r="I20" s="108">
        <f>(Gender!BG21/'Total Doctorates'!J21)*100</f>
        <v>17.829457364341085</v>
      </c>
      <c r="J20" s="108">
        <f>(Gender!BH21/'Total Doctorates'!K21)*100</f>
        <v>24.349442379182157</v>
      </c>
      <c r="K20" s="108">
        <f>(Gender!BI21/'Total Doctorates'!L21)*100</f>
        <v>23.603603603603602</v>
      </c>
      <c r="L20" s="108">
        <f>(Gender!BJ21/'Total Doctorates'!M21)*100</f>
        <v>26.36363636363636</v>
      </c>
      <c r="M20" s="108">
        <f>(Gender!BK21/'Total Doctorates'!N21)*100</f>
        <v>29.032258064516132</v>
      </c>
      <c r="N20" s="108">
        <f>(Gender!BL21/'Total Doctorates'!O21)*100</f>
        <v>28.919860627177702</v>
      </c>
      <c r="O20" s="108">
        <f>(Gender!BM21/'Total Doctorates'!P21)*100</f>
        <v>33.652312599681025</v>
      </c>
      <c r="P20" s="108">
        <f>(Gender!BN21/'Total Doctorates'!Q21)*100</f>
        <v>31.097560975609756</v>
      </c>
      <c r="Q20" s="108">
        <f>(Gender!BO21/'Total Doctorates'!R21)*100</f>
        <v>34.46676970633694</v>
      </c>
      <c r="R20" s="108">
        <f>(Gender!BP21/'Total Doctorates'!S21)*100</f>
        <v>33.671988388969524</v>
      </c>
      <c r="S20" s="108">
        <f>(Gender!BQ21/'Total Doctorates'!T21)*100</f>
        <v>35.953420669577874</v>
      </c>
      <c r="T20" s="108">
        <f>(Gender!BR21/'Total Doctorates'!U21)*100</f>
        <v>34.718498659517429</v>
      </c>
      <c r="U20" s="108">
        <f>(Gender!BS21/'Total Doctorates'!V21)*100</f>
        <v>35.863874345549739</v>
      </c>
      <c r="V20" s="108">
        <f>(Gender!BT21/'Total Doctorates'!W21)*100</f>
        <v>36.829558998808103</v>
      </c>
      <c r="W20" s="108">
        <f>(Gender!BU21/'Total Doctorates'!X21)*100</f>
        <v>38.672768878718536</v>
      </c>
      <c r="X20" s="108">
        <f>(Gender!BV21/'Total Doctorates'!Y21)*100</f>
        <v>39.044652128764277</v>
      </c>
      <c r="Y20" s="108">
        <f>(Gender!BW21/'Total Doctorates'!Z21)*100</f>
        <v>39.478957915831664</v>
      </c>
      <c r="Z20" s="108">
        <f>(Gender!BX21/'Total Doctorates'!AA21)*100</f>
        <v>39.165009940357855</v>
      </c>
      <c r="AA20" s="108">
        <f>(Gender!BY21/'Total Doctorates'!AB21)*100</f>
        <v>38.532961931290622</v>
      </c>
      <c r="AB20" s="108">
        <f>(Gender!BZ21/'Total Doctorates'!AC21)*100</f>
        <v>40.056550424128176</v>
      </c>
      <c r="AC20" s="108">
        <f>(Gender!CA21/'Total Doctorates'!AD21)*100</f>
        <v>41.572052401746724</v>
      </c>
      <c r="AD20" s="108">
        <f>(Gender!CB21/'Total Doctorates'!AE21)*100</f>
        <v>43.767313019390578</v>
      </c>
      <c r="AE20" s="108">
        <f>(Gender!CC21/'Total Doctorates'!AF21)*100</f>
        <v>43.060498220640568</v>
      </c>
      <c r="AF20" s="108">
        <f>(Gender!CD21/'Total Doctorates'!AG21)*100</f>
        <v>42.780748663101605</v>
      </c>
      <c r="AG20" s="108">
        <f>(Gender!CE21/'Total Doctorates'!AH21)*100</f>
        <v>44.789762340036567</v>
      </c>
      <c r="AH20" s="108">
        <f>(Gender!CF21/'Total Doctorates'!AI21)*100</f>
        <v>43.10197086546701</v>
      </c>
      <c r="AI20" s="108">
        <f>(Gender!CG21/'Total Doctorates'!AJ21)*100</f>
        <v>44.396920444824637</v>
      </c>
      <c r="AJ20" s="108">
        <f>(Gender!CH21/'Total Doctorates'!AK21)*100</f>
        <v>47.31785428342674</v>
      </c>
      <c r="AK20" s="108">
        <f>(Gender!CI21/'Total Doctorates'!AL21)*100</f>
        <v>47.73936170212766</v>
      </c>
      <c r="AL20" s="108">
        <f>(Gender!CJ21/'Total Doctorates'!AM21)*100</f>
        <v>49.904519414385739</v>
      </c>
      <c r="AM20" s="108">
        <f>(Gender!CK21/'Total Doctorates'!AN21)*100</f>
        <v>47.778454047474135</v>
      </c>
      <c r="AN20" s="108">
        <f>(Gender!CL21/'Total Doctorates'!AO21)*100</f>
        <v>50.481927710843379</v>
      </c>
      <c r="AO20" s="108">
        <f>(Gender!CM21/'Total Doctorates'!AP21)*100</f>
        <v>50.329538645895745</v>
      </c>
      <c r="AP20" s="108">
        <f>(Gender!CN21/'Total Doctorates'!AQ21)*100</f>
        <v>44.987405541561714</v>
      </c>
      <c r="AQ20" s="108">
        <f>(Gender!CO21/'Total Doctorates'!AR21)*100</f>
        <v>44.39598778892281</v>
      </c>
      <c r="AR20" s="108">
        <f>(Gender!CP21/'Total Doctorates'!AS21)*100</f>
        <v>51.178781925343806</v>
      </c>
      <c r="AS20" s="108">
        <f>(Gender!CQ21/'Total Doctorates'!AT21)*100</f>
        <v>47.320201557489696</v>
      </c>
      <c r="AT20" s="108">
        <f>(Gender!CR21/'Total Doctorates'!AU21)*100</f>
        <v>48.735533647663956</v>
      </c>
      <c r="AU20" s="108">
        <f>(Gender!CS21/'Total Doctorates'!AV21)*100</f>
        <v>50.625558534405727</v>
      </c>
      <c r="AV20" s="108">
        <f>(Gender!CT21/'Total Doctorates'!AW21)*100</f>
        <v>51.680860600627518</v>
      </c>
      <c r="AW20" s="108">
        <f>(Gender!CU21/'Total Doctorates'!AX21)*100</f>
        <v>50.773734838979514</v>
      </c>
      <c r="AX20" s="108">
        <f>(Gender!CV21/'Total Doctorates'!AY21)*100</f>
        <v>48.861720067453625</v>
      </c>
      <c r="AY20" s="108">
        <f>(Gender!CW21/'Total Doctorates'!AZ21)*100</f>
        <v>51.571009635525769</v>
      </c>
    </row>
    <row r="21" spans="1:51">
      <c r="A21" s="42" t="s">
        <v>29</v>
      </c>
      <c r="B21" s="109">
        <f>(Gender!AZ22/'Total Doctorates'!C22)*100</f>
        <v>9.0909090909090917</v>
      </c>
      <c r="C21" s="109">
        <f>(Gender!BA22/'Total Doctorates'!D22)*100</f>
        <v>7.8431372549019605</v>
      </c>
      <c r="D21" s="109">
        <f>(Gender!BB22/'Total Doctorates'!E22)*100</f>
        <v>14.17910447761194</v>
      </c>
      <c r="E21" s="109">
        <f>(Gender!BC22/'Total Doctorates'!F22)*100</f>
        <v>9.1603053435114496</v>
      </c>
      <c r="F21" s="109">
        <f>(Gender!BD22/'Total Doctorates'!G22)*100</f>
        <v>14.678899082568808</v>
      </c>
      <c r="G21" s="109">
        <f>(Gender!BE22/'Total Doctorates'!H22)*100</f>
        <v>17.272727272727273</v>
      </c>
      <c r="H21" s="109">
        <f>(Gender!BF22/'Total Doctorates'!I22)*100</f>
        <v>11.570247933884298</v>
      </c>
      <c r="I21" s="109">
        <f>(Gender!BG22/'Total Doctorates'!J22)*100</f>
        <v>22.314049586776861</v>
      </c>
      <c r="J21" s="109">
        <f>(Gender!BH22/'Total Doctorates'!K22)*100</f>
        <v>23.076923076923077</v>
      </c>
      <c r="K21" s="109">
        <f>(Gender!BI22/'Total Doctorates'!L22)*100</f>
        <v>16.521739130434781</v>
      </c>
      <c r="L21" s="109">
        <f>(Gender!BJ22/'Total Doctorates'!M22)*100</f>
        <v>30.344827586206897</v>
      </c>
      <c r="M21" s="109">
        <f>(Gender!BK22/'Total Doctorates'!N22)*100</f>
        <v>28.971962616822427</v>
      </c>
      <c r="N21" s="109">
        <f>(Gender!BL22/'Total Doctorates'!O22)*100</f>
        <v>34.615384615384613</v>
      </c>
      <c r="O21" s="109">
        <f>(Gender!BM22/'Total Doctorates'!P22)*100</f>
        <v>30.46875</v>
      </c>
      <c r="P21" s="109">
        <f>(Gender!BN22/'Total Doctorates'!Q22)*100</f>
        <v>34.513274336283182</v>
      </c>
      <c r="Q21" s="109">
        <f>(Gender!BO22/'Total Doctorates'!R22)*100</f>
        <v>37.391304347826086</v>
      </c>
      <c r="R21" s="109">
        <f>(Gender!BP22/'Total Doctorates'!S22)*100</f>
        <v>40.707964601769916</v>
      </c>
      <c r="S21" s="109">
        <f>(Gender!BQ22/'Total Doctorates'!T22)*100</f>
        <v>37.272727272727273</v>
      </c>
      <c r="T21" s="109">
        <f>(Gender!BR22/'Total Doctorates'!U22)*100</f>
        <v>33.587786259541986</v>
      </c>
      <c r="U21" s="109">
        <f>(Gender!BS22/'Total Doctorates'!V22)*100</f>
        <v>39.285714285714285</v>
      </c>
      <c r="V21" s="109">
        <f>(Gender!BT22/'Total Doctorates'!W22)*100</f>
        <v>44.53125</v>
      </c>
      <c r="W21" s="109">
        <f>(Gender!BU22/'Total Doctorates'!X22)*100</f>
        <v>35.454545454545453</v>
      </c>
      <c r="X21" s="109">
        <f>(Gender!BV22/'Total Doctorates'!Y22)*100</f>
        <v>45.689655172413794</v>
      </c>
      <c r="Y21" s="109">
        <f>(Gender!BW22/'Total Doctorates'!Z22)*100</f>
        <v>35.353535353535356</v>
      </c>
      <c r="Z21" s="109">
        <f>(Gender!BX22/'Total Doctorates'!AA22)*100</f>
        <v>40.15748031496063</v>
      </c>
      <c r="AA21" s="109">
        <f>(Gender!BY22/'Total Doctorates'!AB22)*100</f>
        <v>44.025157232704402</v>
      </c>
      <c r="AB21" s="109">
        <f>(Gender!BZ22/'Total Doctorates'!AC22)*100</f>
        <v>35</v>
      </c>
      <c r="AC21" s="109">
        <f>(Gender!CA22/'Total Doctorates'!AD22)*100</f>
        <v>41.549295774647888</v>
      </c>
      <c r="AD21" s="109">
        <f>(Gender!CB22/'Total Doctorates'!AE22)*100</f>
        <v>38.607594936708864</v>
      </c>
      <c r="AE21" s="109">
        <f>(Gender!CC22/'Total Doctorates'!AF22)*100</f>
        <v>44.60431654676259</v>
      </c>
      <c r="AF21" s="109">
        <f>(Gender!CD22/'Total Doctorates'!AG22)*100</f>
        <v>38.805970149253731</v>
      </c>
      <c r="AG21" s="109">
        <f>(Gender!CE22/'Total Doctorates'!AH22)*100</f>
        <v>44.696969696969695</v>
      </c>
      <c r="AH21" s="109">
        <f>(Gender!CF22/'Total Doctorates'!AI22)*100</f>
        <v>41.095890410958901</v>
      </c>
      <c r="AI21" s="109">
        <f>(Gender!CG22/'Total Doctorates'!AJ22)*100</f>
        <v>42.5</v>
      </c>
      <c r="AJ21" s="109">
        <f>(Gender!CH22/'Total Doctorates'!AK22)*100</f>
        <v>52.071005917159766</v>
      </c>
      <c r="AK21" s="109">
        <f>(Gender!CI22/'Total Doctorates'!AL22)*100</f>
        <v>46.478873239436616</v>
      </c>
      <c r="AL21" s="109">
        <f>(Gender!CJ22/'Total Doctorates'!AM22)*100</f>
        <v>44.554455445544555</v>
      </c>
      <c r="AM21" s="109">
        <f>(Gender!CK22/'Total Doctorates'!AN22)*100</f>
        <v>51.754385964912288</v>
      </c>
      <c r="AN21" s="109">
        <f>(Gender!CL22/'Total Doctorates'!AO22)*100</f>
        <v>49.321266968325794</v>
      </c>
      <c r="AO21" s="109">
        <f>(Gender!CM22/'Total Doctorates'!AP22)*100</f>
        <v>52.238805970149251</v>
      </c>
      <c r="AP21" s="109">
        <f>(Gender!CN22/'Total Doctorates'!AQ22)*100</f>
        <v>40.506329113924053</v>
      </c>
      <c r="AQ21" s="109">
        <f>(Gender!CO22/'Total Doctorates'!AR22)*100</f>
        <v>44.943820224719097</v>
      </c>
      <c r="AR21" s="109">
        <f>(Gender!CP22/'Total Doctorates'!AS22)*100</f>
        <v>45.81005586592179</v>
      </c>
      <c r="AS21" s="109">
        <f>(Gender!CQ22/'Total Doctorates'!AT22)*100</f>
        <v>47.126436781609193</v>
      </c>
      <c r="AT21" s="109">
        <f>(Gender!CR22/'Total Doctorates'!AU22)*100</f>
        <v>45.454545454545453</v>
      </c>
      <c r="AU21" s="109">
        <f>(Gender!CS22/'Total Doctorates'!AV22)*100</f>
        <v>44.278606965174127</v>
      </c>
      <c r="AV21" s="109">
        <f>(Gender!CT22/'Total Doctorates'!AW22)*100</f>
        <v>44.978165938864628</v>
      </c>
      <c r="AW21" s="109">
        <f>(Gender!CU22/'Total Doctorates'!AX22)*100</f>
        <v>45.945945945945951</v>
      </c>
      <c r="AX21" s="109">
        <f>(Gender!CV22/'Total Doctorates'!AY22)*100</f>
        <v>42.105263157894733</v>
      </c>
      <c r="AY21" s="109">
        <f>(Gender!CW22/'Total Doctorates'!AZ22)*100</f>
        <v>49.090909090909093</v>
      </c>
    </row>
    <row r="22" spans="1:51">
      <c r="A22" s="37" t="s">
        <v>210</v>
      </c>
      <c r="B22" s="108">
        <f>(Gender!AZ23/'Total Doctorates'!C23)*100</f>
        <v>12.285425782564793</v>
      </c>
      <c r="C22" s="108">
        <f>(Gender!BA23/'Total Doctorates'!D23)*100</f>
        <v>12.847058823529412</v>
      </c>
      <c r="D22" s="108">
        <f>(Gender!BB23/'Total Doctorates'!E23)*100</f>
        <v>13.920836445108289</v>
      </c>
      <c r="E22" s="108">
        <f>(Gender!BC23/'Total Doctorates'!F23)*100</f>
        <v>16.282987085906793</v>
      </c>
      <c r="F22" s="108">
        <f>(Gender!BD23/'Total Doctorates'!G23)*100</f>
        <v>16.463768115942027</v>
      </c>
      <c r="G22" s="108">
        <f>(Gender!BE23/'Total Doctorates'!H23)*100</f>
        <v>19.611360239162931</v>
      </c>
      <c r="H22" s="108">
        <f>(Gender!BF23/'Total Doctorates'!I23)*100</f>
        <v>20.186611374407583</v>
      </c>
      <c r="I22" s="108">
        <f>(Gender!BG23/'Total Doctorates'!J23)*100</f>
        <v>21.686746987951807</v>
      </c>
      <c r="J22" s="108">
        <f>(Gender!BH23/'Total Doctorates'!K23)*100</f>
        <v>23.682549700220889</v>
      </c>
      <c r="K22" s="108">
        <f>(Gender!BI23/'Total Doctorates'!L23)*100</f>
        <v>25.210986650299215</v>
      </c>
      <c r="L22" s="108">
        <f>(Gender!BJ23/'Total Doctorates'!M23)*100</f>
        <v>27.597354886113152</v>
      </c>
      <c r="M22" s="108">
        <f>(Gender!BK23/'Total Doctorates'!N23)*100</f>
        <v>28.982206405693951</v>
      </c>
      <c r="N22" s="108">
        <f>(Gender!BL23/'Total Doctorates'!O23)*100</f>
        <v>30.069930069930066</v>
      </c>
      <c r="O22" s="108">
        <f>(Gender!BM23/'Total Doctorates'!P23)*100</f>
        <v>31.014614952220349</v>
      </c>
      <c r="P22" s="108">
        <f>(Gender!BN23/'Total Doctorates'!Q23)*100</f>
        <v>31.284035540269418</v>
      </c>
      <c r="Q22" s="108">
        <f>(Gender!BO23/'Total Doctorates'!R23)*100</f>
        <v>31.718384074941454</v>
      </c>
      <c r="R22" s="108">
        <f>(Gender!BP23/'Total Doctorates'!S23)*100</f>
        <v>32.706713780918726</v>
      </c>
      <c r="S22" s="108">
        <f>(Gender!BQ23/'Total Doctorates'!T23)*100</f>
        <v>32.47742663656885</v>
      </c>
      <c r="T22" s="108">
        <f>(Gender!BR23/'Total Doctorates'!U23)*100</f>
        <v>33.140575519757675</v>
      </c>
      <c r="U22" s="108">
        <f>(Gender!BS23/'Total Doctorates'!V23)*100</f>
        <v>34.437710437710436</v>
      </c>
      <c r="V22" s="108">
        <f>(Gender!BT23/'Total Doctorates'!W23)*100</f>
        <v>34.268338091100908</v>
      </c>
      <c r="W22" s="108">
        <f>(Gender!BU23/'Total Doctorates'!X23)*100</f>
        <v>34.897397397397398</v>
      </c>
      <c r="X22" s="108">
        <f>(Gender!BV23/'Total Doctorates'!Y23)*100</f>
        <v>35.501288501656646</v>
      </c>
      <c r="Y22" s="108">
        <f>(Gender!BW23/'Total Doctorates'!Z23)*100</f>
        <v>36.741808040901695</v>
      </c>
      <c r="Z22" s="108">
        <f>(Gender!BX23/'Total Doctorates'!AA23)*100</f>
        <v>37.06681766704417</v>
      </c>
      <c r="AA22" s="108">
        <f>(Gender!BY23/'Total Doctorates'!AB23)*100</f>
        <v>38.479861411866608</v>
      </c>
      <c r="AB22" s="108">
        <f>(Gender!BZ23/'Total Doctorates'!AC23)*100</f>
        <v>38.738738738738739</v>
      </c>
      <c r="AC22" s="108">
        <f>(Gender!CA23/'Total Doctorates'!AD23)*100</f>
        <v>39.620911036380313</v>
      </c>
      <c r="AD22" s="108">
        <f>(Gender!CB23/'Total Doctorates'!AE23)*100</f>
        <v>40.419669351420097</v>
      </c>
      <c r="AE22" s="108">
        <f>(Gender!CC23/'Total Doctorates'!AF23)*100</f>
        <v>42.099625066952328</v>
      </c>
      <c r="AF22" s="108">
        <f>(Gender!CD23/'Total Doctorates'!AG23)*100</f>
        <v>43.399073175988789</v>
      </c>
      <c r="AG22" s="108">
        <f>(Gender!CE23/'Total Doctorates'!AH23)*100</f>
        <v>45.022648267144213</v>
      </c>
      <c r="AH22" s="108">
        <f>(Gender!CF23/'Total Doctorates'!AI23)*100</f>
        <v>46.038103485602946</v>
      </c>
      <c r="AI22" s="108">
        <f>(Gender!CG23/'Total Doctorates'!AJ23)*100</f>
        <v>46.270046559751684</v>
      </c>
      <c r="AJ22" s="108">
        <f>(Gender!CH23/'Total Doctorates'!AK23)*100</f>
        <v>46.289610910549541</v>
      </c>
      <c r="AK22" s="108">
        <f>(Gender!CI23/'Total Doctorates'!AL23)*100</f>
        <v>48.205986242796058</v>
      </c>
      <c r="AL22" s="108">
        <f>(Gender!CJ23/'Total Doctorates'!AM23)*100</f>
        <v>47.049051324648076</v>
      </c>
      <c r="AM22" s="108">
        <f>(Gender!CK23/'Total Doctorates'!AN23)*100</f>
        <v>48.613376835236544</v>
      </c>
      <c r="AN22" s="108">
        <f>(Gender!CL23/'Total Doctorates'!AO23)*100</f>
        <v>48.277209156965391</v>
      </c>
      <c r="AO22" s="108">
        <f>(Gender!CM23/'Total Doctorates'!AP23)*100</f>
        <v>49.298870613203974</v>
      </c>
      <c r="AP22" s="108">
        <f>(Gender!CN23/'Total Doctorates'!AQ23)*100</f>
        <v>48.794591953086822</v>
      </c>
      <c r="AQ22" s="108">
        <f>(Gender!CO23/'Total Doctorates'!AR23)*100</f>
        <v>48.953974895397486</v>
      </c>
      <c r="AR22" s="108">
        <f>(Gender!CP23/'Total Doctorates'!AS23)*100</f>
        <v>48.156821272095485</v>
      </c>
      <c r="AS22" s="108">
        <f>(Gender!CQ23/'Total Doctorates'!AT23)*100</f>
        <v>49.643654164566989</v>
      </c>
      <c r="AT22" s="108">
        <f>(Gender!CR23/'Total Doctorates'!AU23)*100</f>
        <v>49.44934723944278</v>
      </c>
      <c r="AU22" s="108">
        <f>(Gender!CS23/'Total Doctorates'!AV23)*100</f>
        <v>49.447826702534336</v>
      </c>
      <c r="AV22" s="108">
        <f>(Gender!CT23/'Total Doctorates'!AW23)*100</f>
        <v>49.142562743799218</v>
      </c>
      <c r="AW22" s="108">
        <f>(Gender!CU23/'Total Doctorates'!AX23)*100</f>
        <v>49.132821075740942</v>
      </c>
      <c r="AX22" s="108">
        <f>(Gender!CV23/'Total Doctorates'!AY23)*100</f>
        <v>49.4144367946625</v>
      </c>
      <c r="AY22" s="108">
        <f>(Gender!CW23/'Total Doctorates'!AZ23)*100</f>
        <v>49.78488841086314</v>
      </c>
    </row>
    <row r="23" spans="1:51">
      <c r="A23" s="39"/>
      <c r="B23" s="108"/>
      <c r="C23" s="108"/>
      <c r="D23" s="108"/>
      <c r="E23" s="108"/>
      <c r="F23" s="108"/>
      <c r="G23" s="108"/>
      <c r="H23" s="108"/>
      <c r="I23" s="108"/>
      <c r="J23" s="108"/>
      <c r="K23" s="108"/>
      <c r="L23" s="108"/>
      <c r="M23" s="108"/>
      <c r="N23" s="108"/>
      <c r="O23" s="108"/>
      <c r="P23" s="108"/>
      <c r="Q23" s="108"/>
      <c r="R23" s="108"/>
      <c r="S23" s="108"/>
      <c r="T23" s="108"/>
      <c r="U23" s="108"/>
      <c r="V23" s="108"/>
      <c r="W23" s="108"/>
      <c r="X23" s="108"/>
      <c r="Y23" s="108"/>
      <c r="Z23" s="108"/>
      <c r="AA23" s="108"/>
      <c r="AB23" s="108"/>
      <c r="AC23" s="108"/>
      <c r="AD23" s="108"/>
      <c r="AE23" s="108"/>
      <c r="AF23" s="108"/>
      <c r="AG23" s="108"/>
      <c r="AH23" s="108"/>
      <c r="AI23" s="108"/>
      <c r="AJ23" s="108"/>
      <c r="AK23" s="108"/>
      <c r="AL23" s="108"/>
      <c r="AM23" s="108"/>
      <c r="AN23" s="108"/>
      <c r="AO23" s="108"/>
      <c r="AP23" s="108"/>
      <c r="AQ23" s="108"/>
      <c r="AR23" s="108"/>
      <c r="AS23" s="108"/>
      <c r="AT23" s="108"/>
      <c r="AU23" s="108"/>
      <c r="AV23" s="108"/>
      <c r="AW23" s="108"/>
      <c r="AX23" s="108"/>
      <c r="AY23" s="108"/>
    </row>
    <row r="24" spans="1:51">
      <c r="A24" s="37" t="s">
        <v>125</v>
      </c>
      <c r="B24" s="108">
        <f>(Gender!AZ25/'Total Doctorates'!C25)*100</f>
        <v>14.285714285714285</v>
      </c>
      <c r="C24" s="108">
        <f>(Gender!BA25/'Total Doctorates'!D25)*100</f>
        <v>0</v>
      </c>
      <c r="D24" s="108">
        <f>(Gender!BB25/'Total Doctorates'!E25)*100</f>
        <v>33.333333333333329</v>
      </c>
      <c r="E24" s="108">
        <f>(Gender!BC25/'Total Doctorates'!F25)*100</f>
        <v>0</v>
      </c>
      <c r="F24" s="108">
        <f>(Gender!BD25/'Total Doctorates'!G25)*100</f>
        <v>11.111111111111111</v>
      </c>
      <c r="G24" s="108">
        <f>(Gender!BE25/'Total Doctorates'!H25)*100</f>
        <v>0</v>
      </c>
      <c r="H24" s="108">
        <f>(Gender!BF25/'Total Doctorates'!I25)*100</f>
        <v>12.5</v>
      </c>
      <c r="I24" s="108">
        <f>(Gender!BG25/'Total Doctorates'!J25)*100</f>
        <v>0</v>
      </c>
      <c r="J24" s="108">
        <f>(Gender!BH25/'Total Doctorates'!K25)*100</f>
        <v>33.333333333333329</v>
      </c>
      <c r="K24" s="108">
        <f>(Gender!BI25/'Total Doctorates'!L25)*100</f>
        <v>0</v>
      </c>
      <c r="L24" s="108" t="e">
        <f>(Gender!BJ25/'Total Doctorates'!M25)*100</f>
        <v>#DIV/0!</v>
      </c>
      <c r="M24" s="108">
        <f>(Gender!BK25/'Total Doctorates'!N25)*100</f>
        <v>0</v>
      </c>
      <c r="N24" s="108">
        <f>(Gender!BL25/'Total Doctorates'!O25)*100</f>
        <v>33.333333333333329</v>
      </c>
      <c r="O24" s="108">
        <f>(Gender!BM25/'Total Doctorates'!P25)*100</f>
        <v>0</v>
      </c>
      <c r="P24" s="108">
        <f>(Gender!BN25/'Total Doctorates'!Q25)*100</f>
        <v>16.666666666666664</v>
      </c>
      <c r="Q24" s="108">
        <f>(Gender!BO25/'Total Doctorates'!R25)*100</f>
        <v>12.5</v>
      </c>
      <c r="R24" s="108">
        <f>(Gender!BP25/'Total Doctorates'!S25)*100</f>
        <v>8.3333333333333321</v>
      </c>
      <c r="S24" s="108">
        <f>(Gender!BQ25/'Total Doctorates'!T25)*100</f>
        <v>0</v>
      </c>
      <c r="T24" s="108">
        <f>(Gender!BR25/'Total Doctorates'!U25)*100</f>
        <v>20</v>
      </c>
      <c r="U24" s="108">
        <f>(Gender!BS25/'Total Doctorates'!V25)*100</f>
        <v>42.857142857142854</v>
      </c>
      <c r="V24" s="108">
        <f>(Gender!BT25/'Total Doctorates'!W25)*100</f>
        <v>25</v>
      </c>
      <c r="W24" s="108">
        <f>(Gender!BU25/'Total Doctorates'!X25)*100</f>
        <v>10</v>
      </c>
      <c r="X24" s="108">
        <f>(Gender!BV25/'Total Doctorates'!Y25)*100</f>
        <v>23.076923076923077</v>
      </c>
      <c r="Y24" s="108">
        <f>(Gender!BW25/'Total Doctorates'!Z25)*100</f>
        <v>30</v>
      </c>
      <c r="Z24" s="108">
        <f>(Gender!BX25/'Total Doctorates'!AA25)*100</f>
        <v>12.5</v>
      </c>
      <c r="AA24" s="108">
        <f>(Gender!BY25/'Total Doctorates'!AB25)*100</f>
        <v>42.105263157894733</v>
      </c>
      <c r="AB24" s="108">
        <f>(Gender!BZ25/'Total Doctorates'!AC25)*100</f>
        <v>35.714285714285715</v>
      </c>
      <c r="AC24" s="108">
        <f>(Gender!CA25/'Total Doctorates'!AD25)*100</f>
        <v>15</v>
      </c>
      <c r="AD24" s="108">
        <f>(Gender!CB25/'Total Doctorates'!AE25)*100</f>
        <v>26.47058823529412</v>
      </c>
      <c r="AE24" s="108">
        <f>(Gender!CC25/'Total Doctorates'!AF25)*100</f>
        <v>33.333333333333329</v>
      </c>
      <c r="AF24" s="108">
        <f>(Gender!CD25/'Total Doctorates'!AG25)*100</f>
        <v>25</v>
      </c>
      <c r="AG24" s="108">
        <f>(Gender!CE25/'Total Doctorates'!AH25)*100</f>
        <v>62.962962962962962</v>
      </c>
      <c r="AH24" s="108">
        <f>(Gender!CF25/'Total Doctorates'!AI25)*100</f>
        <v>36.84210526315789</v>
      </c>
      <c r="AI24" s="108">
        <f>(Gender!CG25/'Total Doctorates'!AJ25)*100</f>
        <v>47.222222222222221</v>
      </c>
      <c r="AJ24" s="108">
        <f>(Gender!CH25/'Total Doctorates'!AK25)*100</f>
        <v>55.000000000000007</v>
      </c>
      <c r="AK24" s="108">
        <f>(Gender!CI25/'Total Doctorates'!AL25)*100</f>
        <v>36</v>
      </c>
      <c r="AL24" s="108">
        <f>(Gender!CJ25/'Total Doctorates'!AM25)*100</f>
        <v>42.857142857142854</v>
      </c>
      <c r="AM24" s="108">
        <f>(Gender!CK25/'Total Doctorates'!AN25)*100</f>
        <v>36.363636363636367</v>
      </c>
      <c r="AN24" s="108">
        <f>(Gender!CL25/'Total Doctorates'!AO25)*100</f>
        <v>34.482758620689658</v>
      </c>
      <c r="AO24" s="108">
        <f>(Gender!CM25/'Total Doctorates'!AP25)*100</f>
        <v>43.243243243243242</v>
      </c>
      <c r="AP24" s="108">
        <f>(Gender!CN25/'Total Doctorates'!AQ25)*100</f>
        <v>44.444444444444443</v>
      </c>
      <c r="AQ24" s="108">
        <f>(Gender!CO25/'Total Doctorates'!AR25)*100</f>
        <v>52.173913043478258</v>
      </c>
      <c r="AR24" s="108">
        <f>(Gender!CP25/'Total Doctorates'!AS25)*100</f>
        <v>42</v>
      </c>
      <c r="AS24" s="108">
        <f>(Gender!CQ25/'Total Doctorates'!AT25)*100</f>
        <v>55.555555555555557</v>
      </c>
      <c r="AT24" s="108">
        <f>(Gender!CR25/'Total Doctorates'!AU25)*100</f>
        <v>63.46153846153846</v>
      </c>
      <c r="AU24" s="108">
        <f>(Gender!CS25/'Total Doctorates'!AV25)*100</f>
        <v>34.146341463414636</v>
      </c>
      <c r="AV24" s="108">
        <f>(Gender!CT25/'Total Doctorates'!AW25)*100</f>
        <v>50</v>
      </c>
      <c r="AW24" s="108">
        <f>(Gender!CU25/'Total Doctorates'!AX25)*100</f>
        <v>66.071428571428569</v>
      </c>
      <c r="AX24" s="108">
        <f>(Gender!CV25/'Total Doctorates'!AY25)*100</f>
        <v>47.368421052631575</v>
      </c>
      <c r="AY24" s="108">
        <f>(Gender!CW25/'Total Doctorates'!AZ25)*100</f>
        <v>65.116279069767444</v>
      </c>
    </row>
    <row r="25" spans="1:51">
      <c r="A25" s="37" t="s">
        <v>126</v>
      </c>
      <c r="B25" s="108">
        <f>(Gender!AZ26/'Total Doctorates'!C26)*100</f>
        <v>14.099216710182768</v>
      </c>
      <c r="C25" s="108">
        <f>(Gender!BA26/'Total Doctorates'!D26)*100</f>
        <v>14.14141414141414</v>
      </c>
      <c r="D25" s="108">
        <f>(Gender!BB26/'Total Doctorates'!E26)*100</f>
        <v>13.989637305699482</v>
      </c>
      <c r="E25" s="108">
        <f>(Gender!BC26/'Total Doctorates'!F26)*100</f>
        <v>17.708333333333336</v>
      </c>
      <c r="F25" s="108">
        <f>(Gender!BD26/'Total Doctorates'!G26)*100</f>
        <v>14.726840855106888</v>
      </c>
      <c r="G25" s="108">
        <f>(Gender!BE26/'Total Doctorates'!H26)*100</f>
        <v>21.307506053268767</v>
      </c>
      <c r="H25" s="108">
        <f>(Gender!BF26/'Total Doctorates'!I26)*100</f>
        <v>18.34625322997416</v>
      </c>
      <c r="I25" s="108">
        <f>(Gender!BG26/'Total Doctorates'!J26)*100</f>
        <v>21.822541966426858</v>
      </c>
      <c r="J25" s="108">
        <f>(Gender!BH26/'Total Doctorates'!K26)*100</f>
        <v>26.302729528535977</v>
      </c>
      <c r="K25" s="108">
        <f>(Gender!BI26/'Total Doctorates'!L26)*100</f>
        <v>30.357142857142854</v>
      </c>
      <c r="L25" s="108">
        <f>(Gender!BJ26/'Total Doctorates'!M26)*100</f>
        <v>31.654676258992804</v>
      </c>
      <c r="M25" s="108">
        <f>(Gender!BK26/'Total Doctorates'!N26)*100</f>
        <v>30.612244897959183</v>
      </c>
      <c r="N25" s="108">
        <f>(Gender!BL26/'Total Doctorates'!O26)*100</f>
        <v>30.090497737556561</v>
      </c>
      <c r="O25" s="108">
        <f>(Gender!BM26/'Total Doctorates'!P26)*100</f>
        <v>30.501089324618736</v>
      </c>
      <c r="P25" s="108">
        <f>(Gender!BN26/'Total Doctorates'!Q26)*100</f>
        <v>30.875576036866359</v>
      </c>
      <c r="Q25" s="108">
        <f>(Gender!BO26/'Total Doctorates'!R26)*100</f>
        <v>34.338747099767978</v>
      </c>
      <c r="R25" s="108">
        <f>(Gender!BP26/'Total Doctorates'!S26)*100</f>
        <v>31.877729257641924</v>
      </c>
      <c r="S25" s="108">
        <f>(Gender!BQ26/'Total Doctorates'!T26)*100</f>
        <v>34.387351778656125</v>
      </c>
      <c r="T25" s="108">
        <f>(Gender!BR26/'Total Doctorates'!U26)*100</f>
        <v>36.565656565656568</v>
      </c>
      <c r="U25" s="108">
        <f>(Gender!BS26/'Total Doctorates'!V26)*100</f>
        <v>33.631484794275494</v>
      </c>
      <c r="V25" s="108">
        <f>(Gender!BT26/'Total Doctorates'!W26)*100</f>
        <v>31.743119266055047</v>
      </c>
      <c r="W25" s="108">
        <f>(Gender!BU26/'Total Doctorates'!X26)*100</f>
        <v>31.736526946107784</v>
      </c>
      <c r="X25" s="108">
        <f>(Gender!BV26/'Total Doctorates'!Y26)*100</f>
        <v>34.439178515007903</v>
      </c>
      <c r="Y25" s="108">
        <f>(Gender!BW26/'Total Doctorates'!Z26)*100</f>
        <v>37.826086956521735</v>
      </c>
      <c r="Z25" s="108">
        <f>(Gender!BX26/'Total Doctorates'!AA26)*100</f>
        <v>34.482758620689658</v>
      </c>
      <c r="AA25" s="108">
        <f>(Gender!BY26/'Total Doctorates'!AB26)*100</f>
        <v>38.11944091486658</v>
      </c>
      <c r="AB25" s="108">
        <f>(Gender!BZ26/'Total Doctorates'!AC26)*100</f>
        <v>38.359788359788361</v>
      </c>
      <c r="AC25" s="108">
        <f>(Gender!CA26/'Total Doctorates'!AD26)*100</f>
        <v>39.416983523447399</v>
      </c>
      <c r="AD25" s="108">
        <f>(Gender!CB26/'Total Doctorates'!AE26)*100</f>
        <v>39.720812182741113</v>
      </c>
      <c r="AE25" s="108">
        <f>(Gender!CC26/'Total Doctorates'!AF26)*100</f>
        <v>38.946015424164528</v>
      </c>
      <c r="AF25" s="108">
        <f>(Gender!CD26/'Total Doctorates'!AG26)*100</f>
        <v>41.361256544502616</v>
      </c>
      <c r="AG25" s="108">
        <f>(Gender!CE26/'Total Doctorates'!AH26)*100</f>
        <v>46.264367816091955</v>
      </c>
      <c r="AH25" s="108">
        <f>(Gender!CF26/'Total Doctorates'!AI26)*100</f>
        <v>46.353522867737951</v>
      </c>
      <c r="AI25" s="108">
        <f>(Gender!CG26/'Total Doctorates'!AJ26)*100</f>
        <v>49.190535491905358</v>
      </c>
      <c r="AJ25" s="108">
        <f>(Gender!CH26/'Total Doctorates'!AK26)*100</f>
        <v>48.344370860927157</v>
      </c>
      <c r="AK25" s="108">
        <f>(Gender!CI26/'Total Doctorates'!AL26)*100</f>
        <v>49.006622516556291</v>
      </c>
      <c r="AL25" s="108">
        <f>(Gender!CJ26/'Total Doctorates'!AM26)*100</f>
        <v>45.373467112597545</v>
      </c>
      <c r="AM25" s="108">
        <f>(Gender!CK26/'Total Doctorates'!AN26)*100</f>
        <v>48.816029143898</v>
      </c>
      <c r="AN25" s="108">
        <f>(Gender!CL26/'Total Doctorates'!AO26)*100</f>
        <v>50.894187779433686</v>
      </c>
      <c r="AO25" s="108">
        <f>(Gender!CM26/'Total Doctorates'!AP26)*100</f>
        <v>52.234299516908209</v>
      </c>
      <c r="AP25" s="108">
        <f>(Gender!CN26/'Total Doctorates'!AQ26)*100</f>
        <v>52.711761121267521</v>
      </c>
      <c r="AQ25" s="108">
        <f>(Gender!CO26/'Total Doctorates'!AR26)*100</f>
        <v>50.566037735849058</v>
      </c>
      <c r="AR25" s="108">
        <f>(Gender!CP26/'Total Doctorates'!AS26)*100</f>
        <v>53.175074183976257</v>
      </c>
      <c r="AS25" s="108">
        <f>(Gender!CQ26/'Total Doctorates'!AT26)*100</f>
        <v>56.04665438919583</v>
      </c>
      <c r="AT25" s="108">
        <f>(Gender!CR26/'Total Doctorates'!AU26)*100</f>
        <v>56.153370439084725</v>
      </c>
      <c r="AU25" s="108">
        <f>(Gender!CS26/'Total Doctorates'!AV26)*100</f>
        <v>55.208913649025071</v>
      </c>
      <c r="AV25" s="108">
        <f>(Gender!CT26/'Total Doctorates'!AW26)*100</f>
        <v>55.619596541786741</v>
      </c>
      <c r="AW25" s="108">
        <f>(Gender!CU26/'Total Doctorates'!AX26)*100</f>
        <v>55.983654407472272</v>
      </c>
      <c r="AX25" s="108">
        <f>(Gender!CV26/'Total Doctorates'!AY26)*100</f>
        <v>58.275678552421503</v>
      </c>
      <c r="AY25" s="108">
        <f>(Gender!CW26/'Total Doctorates'!AZ26)*100</f>
        <v>59.86653956148713</v>
      </c>
    </row>
    <row r="26" spans="1:51">
      <c r="A26" s="37" t="s">
        <v>127</v>
      </c>
      <c r="B26" s="108">
        <f>(Gender!AZ27/'Total Doctorates'!C27)*100</f>
        <v>14.141732283464567</v>
      </c>
      <c r="C26" s="108">
        <f>(Gender!BA27/'Total Doctorates'!D27)*100</f>
        <v>13.765303075544939</v>
      </c>
      <c r="D26" s="108">
        <f>(Gender!BB27/'Total Doctorates'!E27)*100</f>
        <v>14.670487106017191</v>
      </c>
      <c r="E26" s="108">
        <f>(Gender!BC27/'Total Doctorates'!F27)*100</f>
        <v>18.049527699770231</v>
      </c>
      <c r="F26" s="108">
        <f>(Gender!BD27/'Total Doctorates'!G27)*100</f>
        <v>18.031900513652339</v>
      </c>
      <c r="G26" s="108">
        <f>(Gender!BE27/'Total Doctorates'!H27)*100</f>
        <v>20.038588754134508</v>
      </c>
      <c r="H26" s="108">
        <f>(Gender!BF27/'Total Doctorates'!I27)*100</f>
        <v>20.847591471439852</v>
      </c>
      <c r="I26" s="108">
        <f>(Gender!BG27/'Total Doctorates'!J27)*100</f>
        <v>22.400217214227531</v>
      </c>
      <c r="J26" s="108">
        <f>(Gender!BH27/'Total Doctorates'!K27)*100</f>
        <v>24.396267837541163</v>
      </c>
      <c r="K26" s="108">
        <f>(Gender!BI27/'Total Doctorates'!L27)*100</f>
        <v>25.363098440021513</v>
      </c>
      <c r="L26" s="108">
        <f>(Gender!BJ27/'Total Doctorates'!M27)*100</f>
        <v>27.800100452034155</v>
      </c>
      <c r="M26" s="108">
        <f>(Gender!BK27/'Total Doctorates'!N27)*100</f>
        <v>29.224843524313915</v>
      </c>
      <c r="N26" s="108">
        <f>(Gender!BL27/'Total Doctorates'!O27)*100</f>
        <v>29.86786337571678</v>
      </c>
      <c r="O26" s="108">
        <f>(Gender!BM27/'Total Doctorates'!P27)*100</f>
        <v>31.953239162201658</v>
      </c>
      <c r="P26" s="108">
        <f>(Gender!BN27/'Total Doctorates'!Q27)*100</f>
        <v>30.858698341994558</v>
      </c>
      <c r="Q26" s="108">
        <f>(Gender!BO27/'Total Doctorates'!R27)*100</f>
        <v>32.404804497827755</v>
      </c>
      <c r="R26" s="108">
        <f>(Gender!BP27/'Total Doctorates'!S27)*100</f>
        <v>33.043478260869563</v>
      </c>
      <c r="S26" s="108">
        <f>(Gender!BQ27/'Total Doctorates'!T27)*100</f>
        <v>33.014939995101642</v>
      </c>
      <c r="T26" s="108">
        <f>(Gender!BR27/'Total Doctorates'!U27)*100</f>
        <v>33.187560738581148</v>
      </c>
      <c r="U26" s="108">
        <f>(Gender!BS27/'Total Doctorates'!V27)*100</f>
        <v>35.210263720598718</v>
      </c>
      <c r="V26" s="108">
        <f>(Gender!BT27/'Total Doctorates'!W27)*100</f>
        <v>34.590267537392037</v>
      </c>
      <c r="W26" s="108">
        <f>(Gender!BU27/'Total Doctorates'!X27)*100</f>
        <v>36.541850220264315</v>
      </c>
      <c r="X26" s="108">
        <f>(Gender!BV27/'Total Doctorates'!Y27)*100</f>
        <v>35.636827556878586</v>
      </c>
      <c r="Y26" s="108">
        <f>(Gender!BW27/'Total Doctorates'!Z27)*100</f>
        <v>37.477441347503508</v>
      </c>
      <c r="Z26" s="108">
        <f>(Gender!BX27/'Total Doctorates'!AA27)*100</f>
        <v>38.65713150576083</v>
      </c>
      <c r="AA26" s="108">
        <f>(Gender!BY27/'Total Doctorates'!AB27)*100</f>
        <v>39.966461710452769</v>
      </c>
      <c r="AB26" s="108">
        <f>(Gender!BZ27/'Total Doctorates'!AC27)*100</f>
        <v>39.530332681017612</v>
      </c>
      <c r="AC26" s="108">
        <f>(Gender!CA27/'Total Doctorates'!AD27)*100</f>
        <v>40.035242290748904</v>
      </c>
      <c r="AD26" s="108">
        <f>(Gender!CB27/'Total Doctorates'!AE27)*100</f>
        <v>41.388270230141053</v>
      </c>
      <c r="AE26" s="108">
        <f>(Gender!CC27/'Total Doctorates'!AF27)*100</f>
        <v>43.971893491124256</v>
      </c>
      <c r="AF26" s="108">
        <f>(Gender!CD27/'Total Doctorates'!AG27)*100</f>
        <v>44.598540145985396</v>
      </c>
      <c r="AG26" s="108">
        <f>(Gender!CE27/'Total Doctorates'!AH27)*100</f>
        <v>45.798101811906818</v>
      </c>
      <c r="AH26" s="108">
        <f>(Gender!CF27/'Total Doctorates'!AI27)*100</f>
        <v>46.772735490869643</v>
      </c>
      <c r="AI26" s="108">
        <f>(Gender!CG27/'Total Doctorates'!AJ27)*100</f>
        <v>46.43168731460478</v>
      </c>
      <c r="AJ26" s="108">
        <f>(Gender!CH27/'Total Doctorates'!AK27)*100</f>
        <v>46.710637578217487</v>
      </c>
      <c r="AK26" s="108">
        <f>(Gender!CI27/'Total Doctorates'!AL27)*100</f>
        <v>47.751088183137192</v>
      </c>
      <c r="AL26" s="108">
        <f>(Gender!CJ27/'Total Doctorates'!AM27)*100</f>
        <v>47.011235955056179</v>
      </c>
      <c r="AM26" s="108">
        <f>(Gender!CK27/'Total Doctorates'!AN27)*100</f>
        <v>48.512071869736104</v>
      </c>
      <c r="AN26" s="108">
        <f>(Gender!CL27/'Total Doctorates'!AO27)*100</f>
        <v>48.087357569180682</v>
      </c>
      <c r="AO26" s="108">
        <f>(Gender!CM27/'Total Doctorates'!AP27)*100</f>
        <v>48.44395483337923</v>
      </c>
      <c r="AP26" s="108">
        <f>(Gender!CN27/'Total Doctorates'!AQ27)*100</f>
        <v>48.616543531797767</v>
      </c>
      <c r="AQ26" s="108">
        <f>(Gender!CO27/'Total Doctorates'!AR27)*100</f>
        <v>49.65458903143945</v>
      </c>
      <c r="AR26" s="108">
        <f>(Gender!CP27/'Total Doctorates'!AS27)*100</f>
        <v>47.270214236351073</v>
      </c>
      <c r="AS26" s="108">
        <f>(Gender!CQ27/'Total Doctorates'!AT27)*100</f>
        <v>49.199531433033968</v>
      </c>
      <c r="AT26" s="108">
        <f>(Gender!CR27/'Total Doctorates'!AU27)*100</f>
        <v>49.330181245074861</v>
      </c>
      <c r="AU26" s="108">
        <f>(Gender!CS27/'Total Doctorates'!AV27)*100</f>
        <v>49.785630765233208</v>
      </c>
      <c r="AV26" s="108">
        <f>(Gender!CT27/'Total Doctorates'!AW27)*100</f>
        <v>49.621785173978822</v>
      </c>
      <c r="AW26" s="108">
        <f>(Gender!CU27/'Total Doctorates'!AX27)*100</f>
        <v>48.593664664117966</v>
      </c>
      <c r="AX26" s="108">
        <f>(Gender!CV27/'Total Doctorates'!AY27)*100</f>
        <v>48.015658747300215</v>
      </c>
      <c r="AY26" s="108">
        <f>(Gender!CW27/'Total Doctorates'!AZ27)*100</f>
        <v>47.579298831385643</v>
      </c>
    </row>
    <row r="27" spans="1:51">
      <c r="A27" s="37" t="s">
        <v>128</v>
      </c>
      <c r="B27" s="108">
        <f>(Gender!AZ28/'Total Doctorates'!C28)*100</f>
        <v>10.220125786163523</v>
      </c>
      <c r="C27" s="108">
        <f>(Gender!BA28/'Total Doctorates'!D28)*100</f>
        <v>14.634146341463413</v>
      </c>
      <c r="D27" s="108">
        <f>(Gender!BB28/'Total Doctorates'!E28)*100</f>
        <v>15.406162464985995</v>
      </c>
      <c r="E27" s="108">
        <f>(Gender!BC28/'Total Doctorates'!F28)*100</f>
        <v>15.781922525107603</v>
      </c>
      <c r="F27" s="108">
        <f>(Gender!BD28/'Total Doctorates'!G28)*100</f>
        <v>14.405594405594405</v>
      </c>
      <c r="G27" s="108">
        <f>(Gender!BE28/'Total Doctorates'!H28)*100</f>
        <v>20.114122681883025</v>
      </c>
      <c r="H27" s="108">
        <f>(Gender!BF28/'Total Doctorates'!I28)*100</f>
        <v>22.589531680440771</v>
      </c>
      <c r="I27" s="108">
        <f>(Gender!BG28/'Total Doctorates'!J28)*100</f>
        <v>22.617354196301566</v>
      </c>
      <c r="J27" s="108">
        <f>(Gender!BH28/'Total Doctorates'!K28)*100</f>
        <v>25.184094256259204</v>
      </c>
      <c r="K27" s="108">
        <f>(Gender!BI28/'Total Doctorates'!L28)*100</f>
        <v>25.34351145038168</v>
      </c>
      <c r="L27" s="108">
        <f>(Gender!BJ28/'Total Doctorates'!M28)*100</f>
        <v>29.449838187702266</v>
      </c>
      <c r="M27" s="108">
        <f>(Gender!BK28/'Total Doctorates'!N28)*100</f>
        <v>28.691983122362867</v>
      </c>
      <c r="N27" s="108">
        <f>(Gender!BL28/'Total Doctorates'!O28)*100</f>
        <v>30.278232405891981</v>
      </c>
      <c r="O27" s="108">
        <f>(Gender!BM28/'Total Doctorates'!P28)*100</f>
        <v>32.205882352941181</v>
      </c>
      <c r="P27" s="108">
        <f>(Gender!BN28/'Total Doctorates'!Q28)*100</f>
        <v>33.74045801526718</v>
      </c>
      <c r="Q27" s="108">
        <f>(Gender!BO28/'Total Doctorates'!R28)*100</f>
        <v>29.118136439267889</v>
      </c>
      <c r="R27" s="108">
        <f>(Gender!BP28/'Total Doctorates'!S28)*100</f>
        <v>30.442176870748298</v>
      </c>
      <c r="S27" s="108">
        <f>(Gender!BQ28/'Total Doctorates'!T28)*100</f>
        <v>32.547169811320757</v>
      </c>
      <c r="T27" s="108">
        <f>(Gender!BR28/'Total Doctorates'!U28)*100</f>
        <v>33.433283358320843</v>
      </c>
      <c r="U27" s="108">
        <f>(Gender!BS28/'Total Doctorates'!V28)*100</f>
        <v>34.736842105263158</v>
      </c>
      <c r="V27" s="108">
        <f>(Gender!BT28/'Total Doctorates'!W28)*100</f>
        <v>35.097493036211695</v>
      </c>
      <c r="W27" s="108">
        <f>(Gender!BU28/'Total Doctorates'!X28)*100</f>
        <v>34.545454545454547</v>
      </c>
      <c r="X27" s="108">
        <f>(Gender!BV28/'Total Doctorates'!Y28)*100</f>
        <v>38.896746817538897</v>
      </c>
      <c r="Y27" s="108">
        <f>(Gender!BW28/'Total Doctorates'!Z28)*100</f>
        <v>35.15625</v>
      </c>
      <c r="Z27" s="108">
        <f>(Gender!BX28/'Total Doctorates'!AA28)*100</f>
        <v>33.333333333333329</v>
      </c>
      <c r="AA27" s="108">
        <f>(Gender!BY28/'Total Doctorates'!AB28)*100</f>
        <v>37.56345177664975</v>
      </c>
      <c r="AB27" s="108">
        <f>(Gender!BZ28/'Total Doctorates'!AC28)*100</f>
        <v>39.397590361445786</v>
      </c>
      <c r="AC27" s="108">
        <f>(Gender!CA28/'Total Doctorates'!AD28)*100</f>
        <v>39.00789177001127</v>
      </c>
      <c r="AD27" s="108">
        <f>(Gender!CB28/'Total Doctorates'!AE28)*100</f>
        <v>41.950646298472385</v>
      </c>
      <c r="AE27" s="108">
        <f>(Gender!CC28/'Total Doctorates'!AF28)*100</f>
        <v>40.11834319526627</v>
      </c>
      <c r="AF27" s="108">
        <f>(Gender!CD28/'Total Doctorates'!AG28)*100</f>
        <v>42.462311557788944</v>
      </c>
      <c r="AG27" s="108">
        <f>(Gender!CE28/'Total Doctorates'!AH28)*100</f>
        <v>45.18716577540107</v>
      </c>
      <c r="AH27" s="108">
        <f>(Gender!CF28/'Total Doctorates'!AI28)*100</f>
        <v>47.711511789181692</v>
      </c>
      <c r="AI27" s="108">
        <f>(Gender!CG28/'Total Doctorates'!AJ28)*100</f>
        <v>45.510455104551042</v>
      </c>
      <c r="AJ27" s="108">
        <f>(Gender!CH28/'Total Doctorates'!AK28)*100</f>
        <v>48.717948717948715</v>
      </c>
      <c r="AK27" s="108">
        <f>(Gender!CI28/'Total Doctorates'!AL28)*100</f>
        <v>51.41242937853108</v>
      </c>
      <c r="AL27" s="108">
        <f>(Gender!CJ28/'Total Doctorates'!AM28)*100</f>
        <v>53.102746693794515</v>
      </c>
      <c r="AM27" s="108">
        <f>(Gender!CK28/'Total Doctorates'!AN28)*100</f>
        <v>50.436469447138698</v>
      </c>
      <c r="AN27" s="108">
        <f>(Gender!CL28/'Total Doctorates'!AO28)*100</f>
        <v>49.6468213925328</v>
      </c>
      <c r="AO27" s="108">
        <f>(Gender!CM28/'Total Doctorates'!AP28)*100</f>
        <v>53.141831238779169</v>
      </c>
      <c r="AP27" s="108">
        <f>(Gender!CN28/'Total Doctorates'!AQ28)*100</f>
        <v>49.178532311062433</v>
      </c>
      <c r="AQ27" s="108">
        <f>(Gender!CO28/'Total Doctorates'!AR28)*100</f>
        <v>48.744769874476987</v>
      </c>
      <c r="AR27" s="108">
        <f>(Gender!CP28/'Total Doctorates'!AS28)*100</f>
        <v>49.441624365482234</v>
      </c>
      <c r="AS27" s="108">
        <f>(Gender!CQ28/'Total Doctorates'!AT28)*100</f>
        <v>50.224618149146451</v>
      </c>
      <c r="AT27" s="108">
        <f>(Gender!CR28/'Total Doctorates'!AU28)*100</f>
        <v>48.662207357859529</v>
      </c>
      <c r="AU27" s="108">
        <f>(Gender!CS28/'Total Doctorates'!AV28)*100</f>
        <v>47.377326565143825</v>
      </c>
      <c r="AV27" s="108">
        <f>(Gender!CT28/'Total Doctorates'!AW28)*100</f>
        <v>43.467336683417088</v>
      </c>
      <c r="AW27" s="108">
        <f>(Gender!CU28/'Total Doctorates'!AX28)*100</f>
        <v>48.972602739726028</v>
      </c>
      <c r="AX27" s="108">
        <f>(Gender!CV28/'Total Doctorates'!AY28)*100</f>
        <v>47.134302822925576</v>
      </c>
      <c r="AY27" s="108">
        <f>(Gender!CW28/'Total Doctorates'!AZ28)*100</f>
        <v>50.372208436724563</v>
      </c>
    </row>
    <row r="28" spans="1:51">
      <c r="A28" s="37" t="s">
        <v>131</v>
      </c>
      <c r="B28" s="108">
        <f>(Gender!AZ29/'Total Doctorates'!C29)*100</f>
        <v>16.981132075471699</v>
      </c>
      <c r="C28" s="108">
        <f>(Gender!BA29/'Total Doctorates'!D29)*100</f>
        <v>14.102564102564102</v>
      </c>
      <c r="D28" s="108">
        <f>(Gender!BB29/'Total Doctorates'!E29)*100</f>
        <v>7.5</v>
      </c>
      <c r="E28" s="108">
        <f>(Gender!BC29/'Total Doctorates'!F29)*100</f>
        <v>17.021276595744681</v>
      </c>
      <c r="F28" s="108">
        <f>(Gender!BD29/'Total Doctorates'!G29)*100</f>
        <v>11.926605504587156</v>
      </c>
      <c r="G28" s="108">
        <f>(Gender!BE29/'Total Doctorates'!H29)*100</f>
        <v>16.494845360824741</v>
      </c>
      <c r="H28" s="108">
        <f>(Gender!BF29/'Total Doctorates'!I29)*100</f>
        <v>17.241379310344829</v>
      </c>
      <c r="I28" s="108">
        <f>(Gender!BG29/'Total Doctorates'!J29)*100</f>
        <v>20.8955223880597</v>
      </c>
      <c r="J28" s="108">
        <f>(Gender!BH29/'Total Doctorates'!K29)*100</f>
        <v>20.930232558139537</v>
      </c>
      <c r="K28" s="108">
        <f>(Gender!BI29/'Total Doctorates'!L29)*100</f>
        <v>24.590163934426229</v>
      </c>
      <c r="L28" s="108">
        <f>(Gender!BJ29/'Total Doctorates'!M29)*100</f>
        <v>23.300970873786408</v>
      </c>
      <c r="M28" s="108">
        <f>(Gender!BK29/'Total Doctorates'!N29)*100</f>
        <v>28.07017543859649</v>
      </c>
      <c r="N28" s="108">
        <f>(Gender!BL29/'Total Doctorates'!O29)*100</f>
        <v>26.126126126126124</v>
      </c>
      <c r="O28" s="108">
        <f>(Gender!BM29/'Total Doctorates'!P29)*100</f>
        <v>33.333333333333329</v>
      </c>
      <c r="P28" s="108">
        <f>(Gender!BN29/'Total Doctorates'!Q29)*100</f>
        <v>26.732673267326735</v>
      </c>
      <c r="Q28" s="108">
        <f>(Gender!BO29/'Total Doctorates'!R29)*100</f>
        <v>30.434782608695656</v>
      </c>
      <c r="R28" s="108">
        <f>(Gender!BP29/'Total Doctorates'!S29)*100</f>
        <v>31.818181818181817</v>
      </c>
      <c r="S28" s="108">
        <f>(Gender!BQ29/'Total Doctorates'!T29)*100</f>
        <v>35.862068965517238</v>
      </c>
      <c r="T28" s="108">
        <f>(Gender!BR29/'Total Doctorates'!U29)*100</f>
        <v>32.758620689655174</v>
      </c>
      <c r="U28" s="108">
        <f>(Gender!BS29/'Total Doctorates'!V29)*100</f>
        <v>34.302325581395351</v>
      </c>
      <c r="V28" s="108">
        <f>(Gender!BT29/'Total Doctorates'!W29)*100</f>
        <v>42.105263157894733</v>
      </c>
      <c r="W28" s="108">
        <f>(Gender!BU29/'Total Doctorates'!X29)*100</f>
        <v>38.888888888888893</v>
      </c>
      <c r="X28" s="108">
        <f>(Gender!BV29/'Total Doctorates'!Y29)*100</f>
        <v>28.965517241379313</v>
      </c>
      <c r="Y28" s="108">
        <f>(Gender!BW29/'Total Doctorates'!Z29)*100</f>
        <v>35.119047619047613</v>
      </c>
      <c r="Z28" s="108">
        <f>(Gender!BX29/'Total Doctorates'!AA29)*100</f>
        <v>42.285714285714285</v>
      </c>
      <c r="AA28" s="108">
        <f>(Gender!BY29/'Total Doctorates'!AB29)*100</f>
        <v>39.75903614457831</v>
      </c>
      <c r="AB28" s="108">
        <f>(Gender!BZ29/'Total Doctorates'!AC29)*100</f>
        <v>40.306122448979593</v>
      </c>
      <c r="AC28" s="108">
        <f>(Gender!CA29/'Total Doctorates'!AD29)*100</f>
        <v>38.918918918918919</v>
      </c>
      <c r="AD28" s="108">
        <f>(Gender!CB29/'Total Doctorates'!AE29)*100</f>
        <v>39.880952380952387</v>
      </c>
      <c r="AE28" s="108">
        <f>(Gender!CC29/'Total Doctorates'!AF29)*100</f>
        <v>39.634146341463413</v>
      </c>
      <c r="AF28" s="108">
        <f>(Gender!CD29/'Total Doctorates'!AG29)*100</f>
        <v>47.368421052631575</v>
      </c>
      <c r="AG28" s="108">
        <f>(Gender!CE29/'Total Doctorates'!AH29)*100</f>
        <v>54.404145077720209</v>
      </c>
      <c r="AH28" s="108">
        <f>(Gender!CF29/'Total Doctorates'!AI29)*100</f>
        <v>47.692307692307693</v>
      </c>
      <c r="AI28" s="108">
        <f>(Gender!CG29/'Total Doctorates'!AJ29)*100</f>
        <v>51.369863013698634</v>
      </c>
      <c r="AJ28" s="108">
        <f>(Gender!CH29/'Total Doctorates'!AK29)*100</f>
        <v>55.905511811023622</v>
      </c>
      <c r="AK28" s="108">
        <f>(Gender!CI29/'Total Doctorates'!AL29)*100</f>
        <v>51.162790697674424</v>
      </c>
      <c r="AL28" s="108">
        <f>(Gender!CJ29/'Total Doctorates'!AM29)*100</f>
        <v>51.68539325842697</v>
      </c>
      <c r="AM28" s="108">
        <f>(Gender!CK29/'Total Doctorates'!AN29)*100</f>
        <v>56.98924731182796</v>
      </c>
      <c r="AN28" s="108">
        <f>(Gender!CL29/'Total Doctorates'!AO29)*100</f>
        <v>50.627615062761514</v>
      </c>
      <c r="AO28" s="108">
        <f>(Gender!CM29/'Total Doctorates'!AP29)*100</f>
        <v>50.236966824644547</v>
      </c>
      <c r="AP28" s="108">
        <f>(Gender!CN29/'Total Doctorates'!AQ29)*100</f>
        <v>53.475935828877006</v>
      </c>
      <c r="AQ28" s="108">
        <f>(Gender!CO29/'Total Doctorates'!AR29)*100</f>
        <v>45.593869731800766</v>
      </c>
      <c r="AR28" s="108">
        <f>(Gender!CP29/'Total Doctorates'!AS29)*100</f>
        <v>52.857142857142861</v>
      </c>
      <c r="AS28" s="108">
        <f>(Gender!CQ29/'Total Doctorates'!AT29)*100</f>
        <v>55.118110236220474</v>
      </c>
      <c r="AT28" s="108">
        <f>(Gender!CR29/'Total Doctorates'!AU29)*100</f>
        <v>58.962264150943398</v>
      </c>
      <c r="AU28" s="108">
        <f>(Gender!CS29/'Total Doctorates'!AV29)*100</f>
        <v>51.153846153846146</v>
      </c>
      <c r="AV28" s="108">
        <f>(Gender!CT29/'Total Doctorates'!AW29)*100</f>
        <v>55.844155844155843</v>
      </c>
      <c r="AW28" s="108">
        <f>(Gender!CU29/'Total Doctorates'!AX29)*100</f>
        <v>57.075471698113212</v>
      </c>
      <c r="AX28" s="108">
        <f>(Gender!CV29/'Total Doctorates'!AY29)*100</f>
        <v>52.912621359223301</v>
      </c>
      <c r="AY28" s="108">
        <f>(Gender!CW29/'Total Doctorates'!AZ29)*100</f>
        <v>53.140096618357489</v>
      </c>
    </row>
    <row r="29" spans="1:51">
      <c r="A29" s="37" t="s">
        <v>133</v>
      </c>
      <c r="B29" s="108">
        <f>(Gender!AZ30/'Total Doctorates'!C30)*100</f>
        <v>2.2222222222222223</v>
      </c>
      <c r="C29" s="108">
        <f>(Gender!BA30/'Total Doctorates'!D30)*100</f>
        <v>8.7719298245614024</v>
      </c>
      <c r="D29" s="108">
        <f>(Gender!BB30/'Total Doctorates'!E30)*100</f>
        <v>17.241379310344829</v>
      </c>
      <c r="E29" s="108">
        <f>(Gender!BC30/'Total Doctorates'!F30)*100</f>
        <v>4.5454545454545459</v>
      </c>
      <c r="F29" s="108">
        <f>(Gender!BD30/'Total Doctorates'!G30)*100</f>
        <v>10.144927536231885</v>
      </c>
      <c r="G29" s="108">
        <f>(Gender!BE30/'Total Doctorates'!H30)*100</f>
        <v>15.384615384615385</v>
      </c>
      <c r="H29" s="108">
        <f>(Gender!BF30/'Total Doctorates'!I30)*100</f>
        <v>11.428571428571429</v>
      </c>
      <c r="I29" s="108">
        <f>(Gender!BG30/'Total Doctorates'!J30)*100</f>
        <v>8.1632653061224492</v>
      </c>
      <c r="J29" s="108">
        <f>(Gender!BH30/'Total Doctorates'!K30)*100</f>
        <v>18.64406779661017</v>
      </c>
      <c r="K29" s="108">
        <f>(Gender!BI30/'Total Doctorates'!L30)*100</f>
        <v>18.75</v>
      </c>
      <c r="L29" s="108">
        <f>(Gender!BJ30/'Total Doctorates'!M30)*100</f>
        <v>12.727272727272727</v>
      </c>
      <c r="M29" s="108">
        <f>(Gender!BK30/'Total Doctorates'!N30)*100</f>
        <v>18.333333333333332</v>
      </c>
      <c r="N29" s="108">
        <f>(Gender!BL30/'Total Doctorates'!O30)*100</f>
        <v>16.363636363636363</v>
      </c>
      <c r="O29" s="108">
        <f>(Gender!BM30/'Total Doctorates'!P30)*100</f>
        <v>16.326530612244898</v>
      </c>
      <c r="P29" s="108">
        <f>(Gender!BN30/'Total Doctorates'!Q30)*100</f>
        <v>18.367346938775512</v>
      </c>
      <c r="Q29" s="108">
        <f>(Gender!BO30/'Total Doctorates'!R30)*100</f>
        <v>25.925925925925924</v>
      </c>
      <c r="R29" s="108">
        <f>(Gender!BP30/'Total Doctorates'!S30)*100</f>
        <v>40.476190476190474</v>
      </c>
      <c r="S29" s="108">
        <f>(Gender!BQ30/'Total Doctorates'!T30)*100</f>
        <v>17.021276595744681</v>
      </c>
      <c r="T29" s="108">
        <f>(Gender!BR30/'Total Doctorates'!U30)*100</f>
        <v>26.984126984126984</v>
      </c>
      <c r="U29" s="108">
        <f>(Gender!BS30/'Total Doctorates'!V30)*100</f>
        <v>16.666666666666664</v>
      </c>
      <c r="V29" s="108">
        <f>(Gender!BT30/'Total Doctorates'!W30)*100</f>
        <v>27.777777777777779</v>
      </c>
      <c r="W29" s="108">
        <f>(Gender!BU30/'Total Doctorates'!X30)*100</f>
        <v>38.15789473684211</v>
      </c>
      <c r="X29" s="108">
        <f>(Gender!BV30/'Total Doctorates'!Y30)*100</f>
        <v>26.315789473684209</v>
      </c>
      <c r="Y29" s="108">
        <f>(Gender!BW30/'Total Doctorates'!Z30)*100</f>
        <v>23.076923076923077</v>
      </c>
      <c r="Z29" s="108">
        <f>(Gender!BX30/'Total Doctorates'!AA30)*100</f>
        <v>31.818181818181817</v>
      </c>
      <c r="AA29" s="108">
        <f>(Gender!BY30/'Total Doctorates'!AB30)*100</f>
        <v>25</v>
      </c>
      <c r="AB29" s="108">
        <f>(Gender!BZ30/'Total Doctorates'!AC30)*100</f>
        <v>17.021276595744681</v>
      </c>
      <c r="AC29" s="108">
        <f>(Gender!CA30/'Total Doctorates'!AD30)*100</f>
        <v>24.444444444444443</v>
      </c>
      <c r="AD29" s="108">
        <f>(Gender!CB30/'Total Doctorates'!AE30)*100</f>
        <v>30.76923076923077</v>
      </c>
      <c r="AE29" s="108">
        <f>(Gender!CC30/'Total Doctorates'!AF30)*100</f>
        <v>43.529411764705884</v>
      </c>
      <c r="AF29" s="108">
        <f>(Gender!CD30/'Total Doctorates'!AG30)*100</f>
        <v>37.142857142857146</v>
      </c>
      <c r="AG29" s="108">
        <f>(Gender!CE30/'Total Doctorates'!AH30)*100</f>
        <v>37.362637362637365</v>
      </c>
      <c r="AH29" s="108">
        <f>(Gender!CF30/'Total Doctorates'!AI30)*100</f>
        <v>39.560439560439562</v>
      </c>
      <c r="AI29" s="108">
        <f>(Gender!CG30/'Total Doctorates'!AJ30)*100</f>
        <v>34.351145038167942</v>
      </c>
      <c r="AJ29" s="108">
        <f>(Gender!CH30/'Total Doctorates'!AK30)*100</f>
        <v>42.857142857142854</v>
      </c>
      <c r="AK29" s="108">
        <f>(Gender!CI30/'Total Doctorates'!AL30)*100</f>
        <v>58.273381294964032</v>
      </c>
      <c r="AL29" s="108">
        <f>(Gender!CJ30/'Total Doctorates'!AM30)*100</f>
        <v>47.674418604651166</v>
      </c>
      <c r="AM29" s="108">
        <f>(Gender!CK30/'Total Doctorates'!AN30)*100</f>
        <v>47.204968944099377</v>
      </c>
      <c r="AN29" s="108">
        <f>(Gender!CL30/'Total Doctorates'!AO30)*100</f>
        <v>49.358974358974365</v>
      </c>
      <c r="AO29" s="108">
        <f>(Gender!CM30/'Total Doctorates'!AP30)*100</f>
        <v>40.880503144654092</v>
      </c>
      <c r="AP29" s="108">
        <f>(Gender!CN30/'Total Doctorates'!AQ30)*100</f>
        <v>44.036697247706428</v>
      </c>
      <c r="AQ29" s="108">
        <f>(Gender!CO30/'Total Doctorates'!AR30)*100</f>
        <v>47.826086956521742</v>
      </c>
      <c r="AR29" s="108">
        <f>(Gender!CP30/'Total Doctorates'!AS30)*100</f>
        <v>37.837837837837839</v>
      </c>
      <c r="AS29" s="108">
        <f>(Gender!CQ30/'Total Doctorates'!AT30)*100</f>
        <v>44.444444444444443</v>
      </c>
      <c r="AT29" s="108">
        <f>(Gender!CR30/'Total Doctorates'!AU30)*100</f>
        <v>35.76158940397351</v>
      </c>
      <c r="AU29" s="108">
        <f>(Gender!CS30/'Total Doctorates'!AV30)*100</f>
        <v>43.410852713178294</v>
      </c>
      <c r="AV29" s="108">
        <f>(Gender!CT30/'Total Doctorates'!AW30)*100</f>
        <v>44.827586206896555</v>
      </c>
      <c r="AW29" s="108">
        <f>(Gender!CU30/'Total Doctorates'!AX30)*100</f>
        <v>51.094890510948908</v>
      </c>
      <c r="AX29" s="108">
        <f>(Gender!CV30/'Total Doctorates'!AY30)*100</f>
        <v>45.255474452554743</v>
      </c>
      <c r="AY29" s="108">
        <f>(Gender!CW30/'Total Doctorates'!AZ30)*100</f>
        <v>49.664429530201346</v>
      </c>
    </row>
    <row r="30" spans="1:51">
      <c r="A30" s="37" t="s">
        <v>142</v>
      </c>
      <c r="B30" s="108">
        <f>(Gender!AZ31/'Total Doctorates'!C31)*100</f>
        <v>1.5873015873015872</v>
      </c>
      <c r="C30" s="108">
        <f>(Gender!BA31/'Total Doctorates'!D31)*100</f>
        <v>2.6315789473684208</v>
      </c>
      <c r="D30" s="108">
        <f>(Gender!BB31/'Total Doctorates'!E31)*100</f>
        <v>6.9444444444444446</v>
      </c>
      <c r="E30" s="108">
        <f>(Gender!BC31/'Total Doctorates'!F31)*100</f>
        <v>8</v>
      </c>
      <c r="F30" s="108">
        <f>(Gender!BD31/'Total Doctorates'!G31)*100</f>
        <v>9.7087378640776691</v>
      </c>
      <c r="G30" s="108">
        <f>(Gender!BE31/'Total Doctorates'!H31)*100</f>
        <v>9.8765432098765427</v>
      </c>
      <c r="H30" s="108">
        <f>(Gender!BF31/'Total Doctorates'!I31)*100</f>
        <v>7.1428571428571423</v>
      </c>
      <c r="I30" s="108">
        <f>(Gender!BG31/'Total Doctorates'!J31)*100</f>
        <v>6.3492063492063489</v>
      </c>
      <c r="J30" s="108">
        <f>(Gender!BH31/'Total Doctorates'!K31)*100</f>
        <v>6.1224489795918364</v>
      </c>
      <c r="K30" s="108">
        <f>(Gender!BI31/'Total Doctorates'!L31)*100</f>
        <v>22</v>
      </c>
      <c r="L30" s="108">
        <f>(Gender!BJ31/'Total Doctorates'!M31)*100</f>
        <v>19.642857142857142</v>
      </c>
      <c r="M30" s="108">
        <f>(Gender!BK31/'Total Doctorates'!N31)*100</f>
        <v>23.684210526315788</v>
      </c>
      <c r="N30" s="108">
        <f>(Gender!BL31/'Total Doctorates'!O31)*100</f>
        <v>25</v>
      </c>
      <c r="O30" s="108">
        <f>(Gender!BM31/'Total Doctorates'!P31)*100</f>
        <v>21.568627450980394</v>
      </c>
      <c r="P30" s="108">
        <f>(Gender!BN31/'Total Doctorates'!Q31)*100</f>
        <v>30.188679245283019</v>
      </c>
      <c r="Q30" s="108">
        <f>(Gender!BO31/'Total Doctorates'!R31)*100</f>
        <v>30.76923076923077</v>
      </c>
      <c r="R30" s="108">
        <f>(Gender!BP31/'Total Doctorates'!S31)*100</f>
        <v>23.333333333333332</v>
      </c>
      <c r="S30" s="108">
        <f>(Gender!BQ31/'Total Doctorates'!T31)*100</f>
        <v>24.489795918367346</v>
      </c>
      <c r="T30" s="108">
        <f>(Gender!BR31/'Total Doctorates'!U31)*100</f>
        <v>24.615384615384617</v>
      </c>
      <c r="U30" s="108">
        <f>(Gender!BS31/'Total Doctorates'!V31)*100</f>
        <v>38.596491228070171</v>
      </c>
      <c r="V30" s="108">
        <f>(Gender!BT31/'Total Doctorates'!W31)*100</f>
        <v>28.169014084507044</v>
      </c>
      <c r="W30" s="108">
        <f>(Gender!BU31/'Total Doctorates'!X31)*100</f>
        <v>33.928571428571431</v>
      </c>
      <c r="X30" s="108">
        <f>(Gender!BV31/'Total Doctorates'!Y31)*100</f>
        <v>41.53846153846154</v>
      </c>
      <c r="Y30" s="108">
        <f>(Gender!BW31/'Total Doctorates'!Z31)*100</f>
        <v>19.298245614035086</v>
      </c>
      <c r="Z30" s="108">
        <f>(Gender!BX31/'Total Doctorates'!AA31)*100</f>
        <v>35.087719298245609</v>
      </c>
      <c r="AA30" s="108">
        <f>(Gender!BY31/'Total Doctorates'!AB31)*100</f>
        <v>37.878787878787875</v>
      </c>
      <c r="AB30" s="108">
        <f>(Gender!BZ31/'Total Doctorates'!AC31)*100</f>
        <v>37.704918032786885</v>
      </c>
      <c r="AC30" s="108">
        <f>(Gender!CA31/'Total Doctorates'!AD31)*100</f>
        <v>39.784946236559136</v>
      </c>
      <c r="AD30" s="108">
        <f>(Gender!CB31/'Total Doctorates'!AE31)*100</f>
        <v>34.693877551020407</v>
      </c>
      <c r="AE30" s="108">
        <f>(Gender!CC31/'Total Doctorates'!AF31)*100</f>
        <v>42.168674698795186</v>
      </c>
      <c r="AF30" s="108">
        <f>(Gender!CD31/'Total Doctorates'!AG31)*100</f>
        <v>43.07692307692308</v>
      </c>
      <c r="AG30" s="108">
        <f>(Gender!CE31/'Total Doctorates'!AH31)*100</f>
        <v>30.357142857142854</v>
      </c>
      <c r="AH30" s="108">
        <f>(Gender!CF31/'Total Doctorates'!AI31)*100</f>
        <v>38.356164383561641</v>
      </c>
      <c r="AI30" s="108">
        <f>(Gender!CG31/'Total Doctorates'!AJ31)*100</f>
        <v>41.333333333333336</v>
      </c>
      <c r="AJ30" s="108">
        <f>(Gender!CH31/'Total Doctorates'!AK31)*100</f>
        <v>42.5</v>
      </c>
      <c r="AK30" s="108">
        <f>(Gender!CI31/'Total Doctorates'!AL31)*100</f>
        <v>50.427350427350426</v>
      </c>
      <c r="AL30" s="108">
        <f>(Gender!CJ31/'Total Doctorates'!AM31)*100</f>
        <v>49.107142857142854</v>
      </c>
      <c r="AM30" s="108">
        <f>(Gender!CK31/'Total Doctorates'!AN31)*100</f>
        <v>51.127819548872175</v>
      </c>
      <c r="AN30" s="108">
        <f>(Gender!CL31/'Total Doctorates'!AO31)*100</f>
        <v>49.635036496350367</v>
      </c>
      <c r="AO30" s="108">
        <f>(Gender!CM31/'Total Doctorates'!AP31)*100</f>
        <v>57.857142857142861</v>
      </c>
      <c r="AP30" s="108">
        <f>(Gender!CN31/'Total Doctorates'!AQ31)*100</f>
        <v>40.86021505376344</v>
      </c>
      <c r="AQ30" s="108">
        <f>(Gender!CO31/'Total Doctorates'!AR31)*100</f>
        <v>42.574257425742573</v>
      </c>
      <c r="AR30" s="108">
        <f>(Gender!CP31/'Total Doctorates'!AS31)*100</f>
        <v>45.360824742268044</v>
      </c>
      <c r="AS30" s="108">
        <f>(Gender!CQ31/'Total Doctorates'!AT31)*100</f>
        <v>52.040816326530617</v>
      </c>
      <c r="AT30" s="108">
        <f>(Gender!CR31/'Total Doctorates'!AU31)*100</f>
        <v>44.859813084112147</v>
      </c>
      <c r="AU30" s="108">
        <f>(Gender!CS31/'Total Doctorates'!AV31)*100</f>
        <v>44.961240310077521</v>
      </c>
      <c r="AV30" s="108">
        <f>(Gender!CT31/'Total Doctorates'!AW31)*100</f>
        <v>44.067796610169488</v>
      </c>
      <c r="AW30" s="108">
        <f>(Gender!CU31/'Total Doctorates'!AX31)*100</f>
        <v>50</v>
      </c>
      <c r="AX30" s="108">
        <f>(Gender!CV31/'Total Doctorates'!AY31)*100</f>
        <v>50</v>
      </c>
      <c r="AY30" s="108">
        <f>(Gender!CW31/'Total Doctorates'!AZ31)*100</f>
        <v>38.28125</v>
      </c>
    </row>
    <row r="31" spans="1:51">
      <c r="A31" s="37" t="s">
        <v>148</v>
      </c>
      <c r="B31" s="108">
        <f>(Gender!AZ32/'Total Doctorates'!C32)*100</f>
        <v>18.181818181818183</v>
      </c>
      <c r="C31" s="108">
        <f>(Gender!BA32/'Total Doctorates'!D32)*100</f>
        <v>15.789473684210526</v>
      </c>
      <c r="D31" s="108">
        <f>(Gender!BB32/'Total Doctorates'!E32)*100</f>
        <v>23.809523809523807</v>
      </c>
      <c r="E31" s="108">
        <f>(Gender!BC32/'Total Doctorates'!F32)*100</f>
        <v>8.3333333333333321</v>
      </c>
      <c r="F31" s="108">
        <f>(Gender!BD32/'Total Doctorates'!G32)*100</f>
        <v>9.0909090909090917</v>
      </c>
      <c r="G31" s="108">
        <f>(Gender!BE32/'Total Doctorates'!H32)*100</f>
        <v>13.333333333333334</v>
      </c>
      <c r="H31" s="108">
        <f>(Gender!BF32/'Total Doctorates'!I32)*100</f>
        <v>29.166666666666668</v>
      </c>
      <c r="I31" s="108">
        <f>(Gender!BG32/'Total Doctorates'!J32)*100</f>
        <v>21.212121212121211</v>
      </c>
      <c r="J31" s="108">
        <f>(Gender!BH32/'Total Doctorates'!K32)*100</f>
        <v>33.333333333333329</v>
      </c>
      <c r="K31" s="108">
        <f>(Gender!BI32/'Total Doctorates'!L32)*100</f>
        <v>26.315789473684209</v>
      </c>
      <c r="L31" s="108">
        <f>(Gender!BJ32/'Total Doctorates'!M32)*100</f>
        <v>28.571428571428569</v>
      </c>
      <c r="M31" s="108">
        <f>(Gender!BK32/'Total Doctorates'!N32)*100</f>
        <v>43.333333333333336</v>
      </c>
      <c r="N31" s="108">
        <f>(Gender!BL32/'Total Doctorates'!O32)*100</f>
        <v>38.235294117647058</v>
      </c>
      <c r="O31" s="108">
        <f>(Gender!BM32/'Total Doctorates'!P32)*100</f>
        <v>15.384615384615385</v>
      </c>
      <c r="P31" s="108">
        <f>(Gender!BN32/'Total Doctorates'!Q32)*100</f>
        <v>51.724137931034484</v>
      </c>
      <c r="Q31" s="108">
        <f>(Gender!BO32/'Total Doctorates'!R32)*100</f>
        <v>58.064516129032263</v>
      </c>
      <c r="R31" s="108">
        <f>(Gender!BP32/'Total Doctorates'!S32)*100</f>
        <v>42.857142857142854</v>
      </c>
      <c r="S31" s="108">
        <f>(Gender!BQ32/'Total Doctorates'!T32)*100</f>
        <v>40.625</v>
      </c>
      <c r="T31" s="108">
        <f>(Gender!BR32/'Total Doctorates'!U32)*100</f>
        <v>39.285714285714285</v>
      </c>
      <c r="U31" s="108">
        <f>(Gender!BS32/'Total Doctorates'!V32)*100</f>
        <v>45.714285714285715</v>
      </c>
      <c r="V31" s="108">
        <f>(Gender!BT32/'Total Doctorates'!W32)*100</f>
        <v>26.315789473684209</v>
      </c>
      <c r="W31" s="108">
        <f>(Gender!BU32/'Total Doctorates'!X32)*100</f>
        <v>33.333333333333329</v>
      </c>
      <c r="X31" s="108">
        <f>(Gender!BV32/'Total Doctorates'!Y32)*100</f>
        <v>37.777777777777779</v>
      </c>
      <c r="Y31" s="108">
        <f>(Gender!BW32/'Total Doctorates'!Z32)*100</f>
        <v>41.025641025641022</v>
      </c>
      <c r="Z31" s="108">
        <f>(Gender!BX32/'Total Doctorates'!AA32)*100</f>
        <v>34.615384615384613</v>
      </c>
      <c r="AA31" s="108">
        <f>(Gender!BY32/'Total Doctorates'!AB32)*100</f>
        <v>40.259740259740262</v>
      </c>
      <c r="AB31" s="108">
        <f>(Gender!BZ32/'Total Doctorates'!AC32)*100</f>
        <v>39.473684210526315</v>
      </c>
      <c r="AC31" s="108">
        <f>(Gender!CA32/'Total Doctorates'!AD32)*100</f>
        <v>37.078651685393261</v>
      </c>
      <c r="AD31" s="108">
        <f>(Gender!CB32/'Total Doctorates'!AE32)*100</f>
        <v>32.967032967032964</v>
      </c>
      <c r="AE31" s="108">
        <f>(Gender!CC32/'Total Doctorates'!AF32)*100</f>
        <v>37.5</v>
      </c>
      <c r="AF31" s="108">
        <f>(Gender!CD32/'Total Doctorates'!AG32)*100</f>
        <v>39.130434782608695</v>
      </c>
      <c r="AG31" s="108">
        <f>(Gender!CE32/'Total Doctorates'!AH32)*100</f>
        <v>49.450549450549453</v>
      </c>
      <c r="AH31" s="108">
        <f>(Gender!CF32/'Total Doctorates'!AI32)*100</f>
        <v>49.532710280373834</v>
      </c>
      <c r="AI31" s="108">
        <f>(Gender!CG32/'Total Doctorates'!AJ32)*100</f>
        <v>49.242424242424242</v>
      </c>
      <c r="AJ31" s="108">
        <f>(Gender!CH32/'Total Doctorates'!AK32)*100</f>
        <v>52.066115702479344</v>
      </c>
      <c r="AK31" s="108">
        <f>(Gender!CI32/'Total Doctorates'!AL32)*100</f>
        <v>44.444444444444443</v>
      </c>
      <c r="AL31" s="108">
        <f>(Gender!CJ32/'Total Doctorates'!AM32)*100</f>
        <v>46.496815286624205</v>
      </c>
      <c r="AM31" s="108">
        <f>(Gender!CK32/'Total Doctorates'!AN32)*100</f>
        <v>52.866242038216562</v>
      </c>
      <c r="AN31" s="108">
        <f>(Gender!CL32/'Total Doctorates'!AO32)*100</f>
        <v>50.867052023121381</v>
      </c>
      <c r="AO31" s="108">
        <f>(Gender!CM32/'Total Doctorates'!AP32)*100</f>
        <v>50.769230769230766</v>
      </c>
      <c r="AP31" s="108">
        <f>(Gender!CN32/'Total Doctorates'!AQ32)*100</f>
        <v>44.255319148936167</v>
      </c>
      <c r="AQ31" s="108">
        <f>(Gender!CO32/'Total Doctorates'!AR32)*100</f>
        <v>48.828125</v>
      </c>
      <c r="AR31" s="108">
        <f>(Gender!CP32/'Total Doctorates'!AS32)*100</f>
        <v>52.651515151515149</v>
      </c>
      <c r="AS31" s="108">
        <f>(Gender!CQ32/'Total Doctorates'!AT32)*100</f>
        <v>44.128113879003564</v>
      </c>
      <c r="AT31" s="108">
        <f>(Gender!CR32/'Total Doctorates'!AU32)*100</f>
        <v>49.173553719008268</v>
      </c>
      <c r="AU31" s="108">
        <f>(Gender!CS32/'Total Doctorates'!AV32)*100</f>
        <v>49.224806201550386</v>
      </c>
      <c r="AV31" s="108">
        <f>(Gender!CT32/'Total Doctorates'!AW32)*100</f>
        <v>52.027027027027032</v>
      </c>
      <c r="AW31" s="108">
        <f>(Gender!CU32/'Total Doctorates'!AX32)*100</f>
        <v>48.529411764705884</v>
      </c>
      <c r="AX31" s="108">
        <f>(Gender!CV32/'Total Doctorates'!AY32)*100</f>
        <v>51.689189189189186</v>
      </c>
      <c r="AY31" s="108">
        <f>(Gender!CW32/'Total Doctorates'!AZ32)*100</f>
        <v>51.943462897526501</v>
      </c>
    </row>
    <row r="32" spans="1:51">
      <c r="A32" s="37" t="s">
        <v>147</v>
      </c>
      <c r="B32" s="108">
        <f>(Gender!AZ33/'Total Doctorates'!C33)*100</f>
        <v>13.736263736263737</v>
      </c>
      <c r="C32" s="108">
        <f>(Gender!BA33/'Total Doctorates'!D33)*100</f>
        <v>10.989010989010989</v>
      </c>
      <c r="D32" s="108">
        <f>(Gender!BB33/'Total Doctorates'!E33)*100</f>
        <v>17.021276595744681</v>
      </c>
      <c r="E32" s="108">
        <f>(Gender!BC33/'Total Doctorates'!F33)*100</f>
        <v>18.779342723004692</v>
      </c>
      <c r="F32" s="108">
        <f>(Gender!BD33/'Total Doctorates'!G33)*100</f>
        <v>27.522935779816514</v>
      </c>
      <c r="G32" s="108">
        <f>(Gender!BE33/'Total Doctorates'!H33)*100</f>
        <v>23.076923076923077</v>
      </c>
      <c r="H32" s="108">
        <f>(Gender!BF33/'Total Doctorates'!I33)*100</f>
        <v>22.155688622754489</v>
      </c>
      <c r="I32" s="108">
        <f>(Gender!BG33/'Total Doctorates'!J33)*100</f>
        <v>28.313253012048197</v>
      </c>
      <c r="J32" s="108">
        <f>(Gender!BH33/'Total Doctorates'!K33)*100</f>
        <v>23.225806451612904</v>
      </c>
      <c r="K32" s="108">
        <f>(Gender!BI33/'Total Doctorates'!L33)*100</f>
        <v>19.62025316455696</v>
      </c>
      <c r="L32" s="108">
        <f>(Gender!BJ33/'Total Doctorates'!M33)*100</f>
        <v>30.722891566265059</v>
      </c>
      <c r="M32" s="108">
        <f>(Gender!BK33/'Total Doctorates'!N33)*100</f>
        <v>36.363636363636367</v>
      </c>
      <c r="N32" s="108">
        <f>(Gender!BL33/'Total Doctorates'!O33)*100</f>
        <v>43.70860927152318</v>
      </c>
      <c r="O32" s="108">
        <f>(Gender!BM33/'Total Doctorates'!P33)*100</f>
        <v>31.176470588235293</v>
      </c>
      <c r="P32" s="108">
        <f>(Gender!BN33/'Total Doctorates'!Q33)*100</f>
        <v>39.655172413793103</v>
      </c>
      <c r="Q32" s="108">
        <f>(Gender!BO33/'Total Doctorates'!R33)*100</f>
        <v>30.687830687830687</v>
      </c>
      <c r="R32" s="108">
        <f>(Gender!BP33/'Total Doctorates'!S33)*100</f>
        <v>33.971291866028707</v>
      </c>
      <c r="S32" s="108">
        <f>(Gender!BQ33/'Total Doctorates'!T33)*100</f>
        <v>32.524271844660198</v>
      </c>
      <c r="T32" s="108">
        <f>(Gender!BR33/'Total Doctorates'!U33)*100</f>
        <v>40.54054054054054</v>
      </c>
      <c r="U32" s="108">
        <f>(Gender!BS33/'Total Doctorates'!V33)*100</f>
        <v>33.640552995391701</v>
      </c>
      <c r="V32" s="108">
        <f>(Gender!BT33/'Total Doctorates'!W33)*100</f>
        <v>31.390134529147986</v>
      </c>
      <c r="W32" s="108">
        <f>(Gender!BU33/'Total Doctorates'!X33)*100</f>
        <v>34.482758620689658</v>
      </c>
      <c r="X32" s="108">
        <f>(Gender!BV33/'Total Doctorates'!Y33)*100</f>
        <v>35.807860262008731</v>
      </c>
      <c r="Y32" s="108">
        <f>(Gender!BW33/'Total Doctorates'!Z33)*100</f>
        <v>41.975308641975303</v>
      </c>
      <c r="Z32" s="108">
        <f>(Gender!BX33/'Total Doctorates'!AA33)*100</f>
        <v>33.744855967078195</v>
      </c>
      <c r="AA32" s="108">
        <f>(Gender!BY33/'Total Doctorates'!AB33)*100</f>
        <v>36.84210526315789</v>
      </c>
      <c r="AB32" s="108">
        <f>(Gender!BZ33/'Total Doctorates'!AC33)*100</f>
        <v>37.049180327868854</v>
      </c>
      <c r="AC32" s="108">
        <f>(Gender!CA33/'Total Doctorates'!AD33)*100</f>
        <v>38.928571428571431</v>
      </c>
      <c r="AD32" s="108">
        <f>(Gender!CB33/'Total Doctorates'!AE33)*100</f>
        <v>36.807817589576544</v>
      </c>
      <c r="AE32" s="108">
        <f>(Gender!CC33/'Total Doctorates'!AF33)*100</f>
        <v>48.028673835125446</v>
      </c>
      <c r="AF32" s="108">
        <f>(Gender!CD33/'Total Doctorates'!AG33)*100</f>
        <v>45.38745387453875</v>
      </c>
      <c r="AG32" s="108">
        <f>(Gender!CE33/'Total Doctorates'!AH33)*100</f>
        <v>44.905660377358494</v>
      </c>
      <c r="AH32" s="108">
        <f>(Gender!CF33/'Total Doctorates'!AI33)*100</f>
        <v>44.285714285714285</v>
      </c>
      <c r="AI32" s="108">
        <f>(Gender!CG33/'Total Doctorates'!AJ33)*100</f>
        <v>45.081967213114751</v>
      </c>
      <c r="AJ32" s="108">
        <f>(Gender!CH33/'Total Doctorates'!AK33)*100</f>
        <v>43.816254416961129</v>
      </c>
      <c r="AK32" s="108">
        <f>(Gender!CI33/'Total Doctorates'!AL33)*100</f>
        <v>46.325878594249204</v>
      </c>
      <c r="AL32" s="108">
        <f>(Gender!CJ33/'Total Doctorates'!AM33)*100</f>
        <v>43.369175627240139</v>
      </c>
      <c r="AM32" s="108">
        <f>(Gender!CK33/'Total Doctorates'!AN33)*100</f>
        <v>45.323741007194243</v>
      </c>
      <c r="AN32" s="108">
        <f>(Gender!CL33/'Total Doctorates'!AO33)*100</f>
        <v>44.268774703557312</v>
      </c>
      <c r="AO32" s="108">
        <f>(Gender!CM33/'Total Doctorates'!AP33)*100</f>
        <v>41.666666666666671</v>
      </c>
      <c r="AP32" s="108">
        <f>(Gender!CN33/'Total Doctorates'!AQ33)*100</f>
        <v>44.106463878326998</v>
      </c>
      <c r="AQ32" s="108">
        <f>(Gender!CO33/'Total Doctorates'!AR33)*100</f>
        <v>45</v>
      </c>
      <c r="AR32" s="108">
        <f>(Gender!CP33/'Total Doctorates'!AS33)*100</f>
        <v>49.0625</v>
      </c>
      <c r="AS32" s="108">
        <f>(Gender!CQ33/'Total Doctorates'!AT33)*100</f>
        <v>45.348837209302324</v>
      </c>
      <c r="AT32" s="108">
        <f>(Gender!CR33/'Total Doctorates'!AU33)*100</f>
        <v>47.752808988764045</v>
      </c>
      <c r="AU32" s="108">
        <f>(Gender!CS33/'Total Doctorates'!AV33)*100</f>
        <v>50.819672131147541</v>
      </c>
      <c r="AV32" s="108">
        <f>(Gender!CT33/'Total Doctorates'!AW33)*100</f>
        <v>44.236760124610591</v>
      </c>
      <c r="AW32" s="108">
        <f>(Gender!CU33/'Total Doctorates'!AX33)*100</f>
        <v>40.909090909090914</v>
      </c>
      <c r="AX32" s="108">
        <f>(Gender!CV33/'Total Doctorates'!AY33)*100</f>
        <v>49.112426035502956</v>
      </c>
      <c r="AY32" s="108">
        <f>(Gender!CW33/'Total Doctorates'!AZ33)*100</f>
        <v>43.188405797101446</v>
      </c>
    </row>
    <row r="33" spans="1:51">
      <c r="A33" s="37" t="s">
        <v>151</v>
      </c>
      <c r="B33" s="108">
        <f>(Gender!AZ34/'Total Doctorates'!C34)*100</f>
        <v>10.204081632653061</v>
      </c>
      <c r="C33" s="108">
        <f>(Gender!BA34/'Total Doctorates'!D34)*100</f>
        <v>12.550607287449392</v>
      </c>
      <c r="D33" s="108">
        <f>(Gender!BB34/'Total Doctorates'!E34)*100</f>
        <v>14.31064572425829</v>
      </c>
      <c r="E33" s="108">
        <f>(Gender!BC34/'Total Doctorates'!F34)*100</f>
        <v>13.931297709923665</v>
      </c>
      <c r="F33" s="108">
        <f>(Gender!BD34/'Total Doctorates'!G34)*100</f>
        <v>16.008316008316008</v>
      </c>
      <c r="G33" s="108">
        <f>(Gender!BE34/'Total Doctorates'!H34)*100</f>
        <v>18.70967741935484</v>
      </c>
      <c r="H33" s="108">
        <f>(Gender!BF34/'Total Doctorates'!I34)*100</f>
        <v>21.271393643031786</v>
      </c>
      <c r="I33" s="108">
        <f>(Gender!BG34/'Total Doctorates'!J34)*100</f>
        <v>22.627737226277372</v>
      </c>
      <c r="J33" s="108">
        <f>(Gender!BH34/'Total Doctorates'!K34)*100</f>
        <v>21.450151057401811</v>
      </c>
      <c r="K33" s="108">
        <f>(Gender!BI34/'Total Doctorates'!L34)*100</f>
        <v>26.133333333333329</v>
      </c>
      <c r="L33" s="108">
        <f>(Gender!BJ34/'Total Doctorates'!M34)*100</f>
        <v>26.011560693641616</v>
      </c>
      <c r="M33" s="108">
        <f>(Gender!BK34/'Total Doctorates'!N34)*100</f>
        <v>31.604938271604937</v>
      </c>
      <c r="N33" s="108">
        <f>(Gender!BL34/'Total Doctorates'!O34)*100</f>
        <v>30.867346938775508</v>
      </c>
      <c r="O33" s="108">
        <f>(Gender!BM34/'Total Doctorates'!P34)*100</f>
        <v>27.133479212253832</v>
      </c>
      <c r="P33" s="108">
        <f>(Gender!BN34/'Total Doctorates'!Q34)*100</f>
        <v>35</v>
      </c>
      <c r="Q33" s="108">
        <f>(Gender!BO34/'Total Doctorates'!R34)*100</f>
        <v>34.204275534441805</v>
      </c>
      <c r="R33" s="108">
        <f>(Gender!BP34/'Total Doctorates'!S34)*100</f>
        <v>33.71824480369515</v>
      </c>
      <c r="S33" s="108">
        <f>(Gender!BQ34/'Total Doctorates'!T34)*100</f>
        <v>30.372492836676219</v>
      </c>
      <c r="T33" s="108">
        <f>(Gender!BR34/'Total Doctorates'!U34)*100</f>
        <v>32.762836185819069</v>
      </c>
      <c r="U33" s="108">
        <f>(Gender!BS34/'Total Doctorates'!V34)*100</f>
        <v>35.024154589371982</v>
      </c>
      <c r="V33" s="108">
        <f>(Gender!BT34/'Total Doctorates'!W34)*100</f>
        <v>37.831858407079643</v>
      </c>
      <c r="W33" s="108">
        <f>(Gender!BU34/'Total Doctorates'!X34)*100</f>
        <v>30.275229357798167</v>
      </c>
      <c r="X33" s="108">
        <f>(Gender!BV34/'Total Doctorates'!Y34)*100</f>
        <v>36.007827788649706</v>
      </c>
      <c r="Y33" s="108">
        <f>(Gender!BW34/'Total Doctorates'!Z34)*100</f>
        <v>39.813084112149532</v>
      </c>
      <c r="Z33" s="108">
        <f>(Gender!BX34/'Total Doctorates'!AA34)*100</f>
        <v>39.548022598870055</v>
      </c>
      <c r="AA33" s="108">
        <f>(Gender!BY34/'Total Doctorates'!AB34)*100</f>
        <v>37.525354969574039</v>
      </c>
      <c r="AB33" s="108">
        <f>(Gender!BZ34/'Total Doctorates'!AC34)*100</f>
        <v>39.075630252100844</v>
      </c>
      <c r="AC33" s="108">
        <f>(Gender!CA34/'Total Doctorates'!AD34)*100</f>
        <v>43.849206349206348</v>
      </c>
      <c r="AD33" s="108">
        <f>(Gender!CB34/'Total Doctorates'!AE34)*100</f>
        <v>41.266375545851531</v>
      </c>
      <c r="AE33" s="108">
        <f>(Gender!CC34/'Total Doctorates'!AF34)*100</f>
        <v>35.981308411214954</v>
      </c>
      <c r="AF33" s="108">
        <f>(Gender!CD34/'Total Doctorates'!AG34)*100</f>
        <v>42.18009478672986</v>
      </c>
      <c r="AG33" s="108">
        <f>(Gender!CE34/'Total Doctorates'!AH34)*100</f>
        <v>43.844492440604753</v>
      </c>
      <c r="AH33" s="108">
        <f>(Gender!CF34/'Total Doctorates'!AI34)*100</f>
        <v>46.650717703349279</v>
      </c>
      <c r="AI33" s="108">
        <f>(Gender!CG34/'Total Doctorates'!AJ34)*100</f>
        <v>47.294589178356709</v>
      </c>
      <c r="AJ33" s="108">
        <f>(Gender!CH34/'Total Doctorates'!AK34)*100</f>
        <v>50</v>
      </c>
      <c r="AK33" s="108">
        <f>(Gender!CI34/'Total Doctorates'!AL34)*100</f>
        <v>51.153039832285117</v>
      </c>
      <c r="AL33" s="108">
        <f>(Gender!CJ34/'Total Doctorates'!AM34)*100</f>
        <v>49.566724436741765</v>
      </c>
      <c r="AM33" s="108">
        <f>(Gender!CK34/'Total Doctorates'!AN34)*100</f>
        <v>51.985559566786996</v>
      </c>
      <c r="AN33" s="108">
        <f>(Gender!CL34/'Total Doctorates'!AO34)*100</f>
        <v>49.307958477508649</v>
      </c>
      <c r="AO33" s="108">
        <f>(Gender!CM34/'Total Doctorates'!AP34)*100</f>
        <v>50.0875656742557</v>
      </c>
      <c r="AP33" s="108">
        <f>(Gender!CN34/'Total Doctorates'!AQ34)*100</f>
        <v>47.297297297297298</v>
      </c>
      <c r="AQ33" s="108">
        <f>(Gender!CO34/'Total Doctorates'!AR34)*100</f>
        <v>46.347031963470322</v>
      </c>
      <c r="AR33" s="108">
        <f>(Gender!CP34/'Total Doctorates'!AS34)*100</f>
        <v>45.792563600782778</v>
      </c>
      <c r="AS33" s="108">
        <f>(Gender!CQ34/'Total Doctorates'!AT34)*100</f>
        <v>48.538011695906427</v>
      </c>
      <c r="AT33" s="108">
        <f>(Gender!CR34/'Total Doctorates'!AU34)*100</f>
        <v>49.498997995991985</v>
      </c>
      <c r="AU33" s="108">
        <f>(Gender!CS34/'Total Doctorates'!AV34)*100</f>
        <v>48.603351955307261</v>
      </c>
      <c r="AV33" s="108">
        <f>(Gender!CT34/'Total Doctorates'!AW34)*100</f>
        <v>45.306859205776171</v>
      </c>
      <c r="AW33" s="108">
        <f>(Gender!CU34/'Total Doctorates'!AX34)*100</f>
        <v>44.948755490483158</v>
      </c>
      <c r="AX33" s="108">
        <f>(Gender!CV34/'Total Doctorates'!AY34)*100</f>
        <v>49.348958333333329</v>
      </c>
      <c r="AY33" s="108">
        <f>(Gender!CW34/'Total Doctorates'!AZ34)*100</f>
        <v>52.883435582822081</v>
      </c>
    </row>
    <row r="34" spans="1:51">
      <c r="A34" s="37" t="s">
        <v>155</v>
      </c>
      <c r="B34" s="108">
        <f>(Gender!AZ35/'Total Doctorates'!C35)*100</f>
        <v>8.2324455205811145</v>
      </c>
      <c r="C34" s="108">
        <f>(Gender!BA35/'Total Doctorates'!D35)*100</f>
        <v>6.8527918781725887</v>
      </c>
      <c r="D34" s="108">
        <f>(Gender!BB35/'Total Doctorates'!E35)*100</f>
        <v>9.9796334012219958</v>
      </c>
      <c r="E34" s="108">
        <f>(Gender!BC35/'Total Doctorates'!F35)*100</f>
        <v>10.434782608695652</v>
      </c>
      <c r="F34" s="108">
        <f>(Gender!BD35/'Total Doctorates'!G35)*100</f>
        <v>10.633484162895927</v>
      </c>
      <c r="G34" s="108">
        <f>(Gender!BE35/'Total Doctorates'!H35)*100</f>
        <v>17.362637362637361</v>
      </c>
      <c r="H34" s="108">
        <f>(Gender!BF35/'Total Doctorates'!I35)*100</f>
        <v>16.216216216216218</v>
      </c>
      <c r="I34" s="108">
        <f>(Gender!BG35/'Total Doctorates'!J35)*100</f>
        <v>16.853932584269664</v>
      </c>
      <c r="J34" s="108">
        <f>(Gender!BH35/'Total Doctorates'!K35)*100</f>
        <v>20.448179271708682</v>
      </c>
      <c r="K34" s="108">
        <f>(Gender!BI35/'Total Doctorates'!L35)*100</f>
        <v>22.137404580152673</v>
      </c>
      <c r="L34" s="108">
        <f>(Gender!BJ35/'Total Doctorates'!M35)*100</f>
        <v>24.282560706401764</v>
      </c>
      <c r="M34" s="108">
        <f>(Gender!BK35/'Total Doctorates'!N35)*100</f>
        <v>23.759791122715406</v>
      </c>
      <c r="N34" s="108">
        <f>(Gender!BL35/'Total Doctorates'!O35)*100</f>
        <v>27.696078431372552</v>
      </c>
      <c r="O34" s="108">
        <f>(Gender!BM35/'Total Doctorates'!P35)*100</f>
        <v>27.223719676549869</v>
      </c>
      <c r="P34" s="108">
        <f>(Gender!BN35/'Total Doctorates'!Q35)*100</f>
        <v>25.336927223719673</v>
      </c>
      <c r="Q34" s="108">
        <f>(Gender!BO35/'Total Doctorates'!R35)*100</f>
        <v>25.41899441340782</v>
      </c>
      <c r="R34" s="108">
        <f>(Gender!BP35/'Total Doctorates'!S35)*100</f>
        <v>33.423180592991912</v>
      </c>
      <c r="S34" s="108">
        <f>(Gender!BQ35/'Total Doctorates'!T35)*100</f>
        <v>28.531855955678669</v>
      </c>
      <c r="T34" s="108">
        <f>(Gender!BR35/'Total Doctorates'!U35)*100</f>
        <v>27.990430622009573</v>
      </c>
      <c r="U34" s="108">
        <f>(Gender!BS35/'Total Doctorates'!V35)*100</f>
        <v>28.337874659400548</v>
      </c>
      <c r="V34" s="108">
        <f>(Gender!BT35/'Total Doctorates'!W35)*100</f>
        <v>29.639889196675899</v>
      </c>
      <c r="W34" s="108">
        <f>(Gender!BU35/'Total Doctorates'!X35)*100</f>
        <v>26.966292134831459</v>
      </c>
      <c r="X34" s="108">
        <f>(Gender!BV35/'Total Doctorates'!Y35)*100</f>
        <v>29.100529100529098</v>
      </c>
      <c r="Y34" s="108">
        <f>(Gender!BW35/'Total Doctorates'!Z35)*100</f>
        <v>27.925531914893615</v>
      </c>
      <c r="Z34" s="108">
        <f>(Gender!BX35/'Total Doctorates'!AA35)*100</f>
        <v>32.248520710059168</v>
      </c>
      <c r="AA34" s="108">
        <f>(Gender!BY35/'Total Doctorates'!AB35)*100</f>
        <v>28.770949720670391</v>
      </c>
      <c r="AB34" s="108">
        <f>(Gender!BZ35/'Total Doctorates'!AC35)*100</f>
        <v>31.592039800995025</v>
      </c>
      <c r="AC34" s="108">
        <f>(Gender!CA35/'Total Doctorates'!AD35)*100</f>
        <v>35.142118863049092</v>
      </c>
      <c r="AD34" s="108">
        <f>(Gender!CB35/'Total Doctorates'!AE35)*100</f>
        <v>32.212885154061624</v>
      </c>
      <c r="AE34" s="108">
        <f>(Gender!CC35/'Total Doctorates'!AF35)*100</f>
        <v>29.787234042553191</v>
      </c>
      <c r="AF34" s="108">
        <f>(Gender!CD35/'Total Doctorates'!AG35)*100</f>
        <v>34</v>
      </c>
      <c r="AG34" s="108">
        <f>(Gender!CE35/'Total Doctorates'!AH35)*100</f>
        <v>35.714285714285715</v>
      </c>
      <c r="AH34" s="108">
        <f>(Gender!CF35/'Total Doctorates'!AI35)*100</f>
        <v>38</v>
      </c>
      <c r="AI34" s="108">
        <f>(Gender!CG35/'Total Doctorates'!AJ35)*100</f>
        <v>35.714285714285715</v>
      </c>
      <c r="AJ34" s="108">
        <f>(Gender!CH35/'Total Doctorates'!AK35)*100</f>
        <v>30.662983425414364</v>
      </c>
      <c r="AK34" s="108">
        <f>(Gender!CI35/'Total Doctorates'!AL35)*100</f>
        <v>38.337801608579085</v>
      </c>
      <c r="AL34" s="108">
        <f>(Gender!CJ35/'Total Doctorates'!AM35)*100</f>
        <v>36.009174311926607</v>
      </c>
      <c r="AM34" s="108">
        <f>(Gender!CK35/'Total Doctorates'!AN35)*100</f>
        <v>40.196078431372548</v>
      </c>
      <c r="AN34" s="108">
        <f>(Gender!CL35/'Total Doctorates'!AO35)*100</f>
        <v>41.929824561403514</v>
      </c>
      <c r="AO34" s="108">
        <f>(Gender!CM35/'Total Doctorates'!AP35)*100</f>
        <v>40.506329113924053</v>
      </c>
      <c r="AP34" s="108">
        <f>(Gender!CN35/'Total Doctorates'!AQ35)*100</f>
        <v>39.816933638443935</v>
      </c>
      <c r="AQ34" s="108">
        <f>(Gender!CO35/'Total Doctorates'!AR35)*100</f>
        <v>38.356164383561641</v>
      </c>
      <c r="AR34" s="108">
        <f>(Gender!CP35/'Total Doctorates'!AS35)*100</f>
        <v>44.496855345911953</v>
      </c>
      <c r="AS34" s="108">
        <f>(Gender!CQ35/'Total Doctorates'!AT35)*100</f>
        <v>38.271604938271601</v>
      </c>
      <c r="AT34" s="108">
        <f>(Gender!CR35/'Total Doctorates'!AU35)*100</f>
        <v>41.476274165202106</v>
      </c>
      <c r="AU34" s="108">
        <f>(Gender!CS35/'Total Doctorates'!AV35)*100</f>
        <v>37.97054009819967</v>
      </c>
      <c r="AV34" s="108">
        <f>(Gender!CT35/'Total Doctorates'!AW35)*100</f>
        <v>37.852112676056336</v>
      </c>
      <c r="AW34" s="108">
        <f>(Gender!CU35/'Total Doctorates'!AX35)*100</f>
        <v>38.517179023508135</v>
      </c>
      <c r="AX34" s="108">
        <f>(Gender!CV35/'Total Doctorates'!AY35)*100</f>
        <v>42.95774647887324</v>
      </c>
      <c r="AY34" s="108">
        <f>(Gender!CW35/'Total Doctorates'!AZ35)*100</f>
        <v>40.432612312811976</v>
      </c>
    </row>
    <row r="35" spans="1:51">
      <c r="A35" s="37" t="s">
        <v>67</v>
      </c>
      <c r="B35" s="108">
        <f>(Gender!AZ36/'Total Doctorates'!C36)*100</f>
        <v>8.5836909871244629</v>
      </c>
      <c r="C35" s="108">
        <f>(Gender!BA36/'Total Doctorates'!D36)*100</f>
        <v>12.369337979094077</v>
      </c>
      <c r="D35" s="108">
        <f>(Gender!BB36/'Total Doctorates'!E36)*100</f>
        <v>11.460258780036968</v>
      </c>
      <c r="E35" s="108">
        <f>(Gender!BC36/'Total Doctorates'!F36)*100</f>
        <v>13.866231647634583</v>
      </c>
      <c r="F35" s="108">
        <f>(Gender!BD36/'Total Doctorates'!G36)*100</f>
        <v>15.613382899628252</v>
      </c>
      <c r="G35" s="108">
        <f>(Gender!BE36/'Total Doctorates'!H36)*100</f>
        <v>20.779220779220779</v>
      </c>
      <c r="H35" s="108">
        <f>(Gender!BF36/'Total Doctorates'!I36)*100</f>
        <v>18.75</v>
      </c>
      <c r="I35" s="108">
        <f>(Gender!BG36/'Total Doctorates'!J36)*100</f>
        <v>21.428571428571427</v>
      </c>
      <c r="J35" s="108">
        <f>(Gender!BH36/'Total Doctorates'!K36)*100</f>
        <v>22.516556291390728</v>
      </c>
      <c r="K35" s="108">
        <f>(Gender!BI36/'Total Doctorates'!L36)*100</f>
        <v>24.853228962818001</v>
      </c>
      <c r="L35" s="108">
        <f>(Gender!BJ36/'Total Doctorates'!M36)*100</f>
        <v>28.515625</v>
      </c>
      <c r="M35" s="108">
        <f>(Gender!BK36/'Total Doctorates'!N36)*100</f>
        <v>27.383367139959429</v>
      </c>
      <c r="N35" s="108">
        <f>(Gender!BL36/'Total Doctorates'!O36)*100</f>
        <v>31.450094161958571</v>
      </c>
      <c r="O35" s="108">
        <f>(Gender!BM36/'Total Doctorates'!P36)*100</f>
        <v>32.460732984293195</v>
      </c>
      <c r="P35" s="108">
        <f>(Gender!BN36/'Total Doctorates'!Q36)*100</f>
        <v>31.636363636363633</v>
      </c>
      <c r="Q35" s="108">
        <f>(Gender!BO36/'Total Doctorates'!R36)*100</f>
        <v>31.322957198443579</v>
      </c>
      <c r="R35" s="108">
        <f>(Gender!BP36/'Total Doctorates'!S36)*100</f>
        <v>32.637571157495252</v>
      </c>
      <c r="S35" s="108">
        <f>(Gender!BQ36/'Total Doctorates'!T36)*100</f>
        <v>33.722871452420698</v>
      </c>
      <c r="T35" s="108">
        <f>(Gender!BR36/'Total Doctorates'!U36)*100</f>
        <v>32.465277777777779</v>
      </c>
      <c r="U35" s="108">
        <f>(Gender!BS36/'Total Doctorates'!V36)*100</f>
        <v>35.677530017152662</v>
      </c>
      <c r="V35" s="108">
        <f>(Gender!BT36/'Total Doctorates'!W36)*100</f>
        <v>35.917721518987342</v>
      </c>
      <c r="W35" s="108">
        <f>(Gender!BU36/'Total Doctorates'!X36)*100</f>
        <v>34.451219512195117</v>
      </c>
      <c r="X35" s="108">
        <f>(Gender!BV36/'Total Doctorates'!Y36)*100</f>
        <v>38.383838383838381</v>
      </c>
      <c r="Y35" s="108">
        <f>(Gender!BW36/'Total Doctorates'!Z36)*100</f>
        <v>36.084142394822003</v>
      </c>
      <c r="Z35" s="108">
        <f>(Gender!BX36/'Total Doctorates'!AA36)*100</f>
        <v>33.477011494252871</v>
      </c>
      <c r="AA35" s="108">
        <f>(Gender!BY36/'Total Doctorates'!AB36)*100</f>
        <v>36.535662299854437</v>
      </c>
      <c r="AB35" s="108">
        <f>(Gender!BZ36/'Total Doctorates'!AC36)*100</f>
        <v>40.289855072463773</v>
      </c>
      <c r="AC35" s="108">
        <f>(Gender!CA36/'Total Doctorates'!AD36)*100</f>
        <v>42.04081632653061</v>
      </c>
      <c r="AD35" s="108">
        <f>(Gender!CB36/'Total Doctorates'!AE36)*100</f>
        <v>42.149929278642148</v>
      </c>
      <c r="AE35" s="108">
        <f>(Gender!CC36/'Total Doctorates'!AF36)*100</f>
        <v>43.600562587904363</v>
      </c>
      <c r="AF35" s="108">
        <f>(Gender!CD36/'Total Doctorates'!AG36)*100</f>
        <v>43.585780525502315</v>
      </c>
      <c r="AG35" s="108">
        <f>(Gender!CE36/'Total Doctorates'!AH36)*100</f>
        <v>40.936555891238669</v>
      </c>
      <c r="AH35" s="108">
        <f>(Gender!CF36/'Total Doctorates'!AI36)*100</f>
        <v>43.883792048929664</v>
      </c>
      <c r="AI35" s="108">
        <f>(Gender!CG36/'Total Doctorates'!AJ36)*100</f>
        <v>48.868778280542983</v>
      </c>
      <c r="AJ35" s="108">
        <f>(Gender!CH36/'Total Doctorates'!AK36)*100</f>
        <v>42.249657064471876</v>
      </c>
      <c r="AK35" s="108">
        <f>(Gender!CI36/'Total Doctorates'!AL36)*100</f>
        <v>48.802017654476671</v>
      </c>
      <c r="AL35" s="108">
        <f>(Gender!CJ36/'Total Doctorates'!AM36)*100</f>
        <v>46.464646464646464</v>
      </c>
      <c r="AM35" s="108">
        <f>(Gender!CK36/'Total Doctorates'!AN36)*100</f>
        <v>49.357601713062103</v>
      </c>
      <c r="AN35" s="108">
        <f>(Gender!CL36/'Total Doctorates'!AO36)*100</f>
        <v>48.926553672316388</v>
      </c>
      <c r="AO35" s="108">
        <f>(Gender!CM36/'Total Doctorates'!AP36)*100</f>
        <v>51.785714285714292</v>
      </c>
      <c r="AP35" s="108">
        <f>(Gender!CN36/'Total Doctorates'!AQ36)*100</f>
        <v>50.692225772097977</v>
      </c>
      <c r="AQ35" s="108">
        <f>(Gender!CO36/'Total Doctorates'!AR36)*100</f>
        <v>52.730883813306853</v>
      </c>
      <c r="AR35" s="108">
        <f>(Gender!CP36/'Total Doctorates'!AS36)*100</f>
        <v>48.305084745762713</v>
      </c>
      <c r="AS35" s="108">
        <f>(Gender!CQ36/'Total Doctorates'!AT36)*100</f>
        <v>51.65031222123104</v>
      </c>
      <c r="AT35" s="108">
        <f>(Gender!CR36/'Total Doctorates'!AU36)*100</f>
        <v>46.309403437815973</v>
      </c>
      <c r="AU35" s="108">
        <f>(Gender!CS36/'Total Doctorates'!AV36)*100</f>
        <v>48.443579766536963</v>
      </c>
      <c r="AV35" s="108">
        <f>(Gender!CT36/'Total Doctorates'!AW36)*100</f>
        <v>50.844091360476661</v>
      </c>
      <c r="AW35" s="108">
        <f>(Gender!CU36/'Total Doctorates'!AX36)*100</f>
        <v>51.137487636003954</v>
      </c>
      <c r="AX35" s="108">
        <f>(Gender!CV36/'Total Doctorates'!AY36)*100</f>
        <v>49.518304431599233</v>
      </c>
      <c r="AY35" s="108">
        <f>(Gender!CW36/'Total Doctorates'!AZ36)*100</f>
        <v>50.04524886877828</v>
      </c>
    </row>
    <row r="36" spans="1:51">
      <c r="A36" s="42" t="s">
        <v>158</v>
      </c>
      <c r="B36" s="109">
        <f>(Gender!AZ37/'Total Doctorates'!C37)*100</f>
        <v>5.9701492537313428</v>
      </c>
      <c r="C36" s="109">
        <f>(Gender!BA37/'Total Doctorates'!D37)*100</f>
        <v>5.6818181818181817</v>
      </c>
      <c r="D36" s="109">
        <f>(Gender!BB37/'Total Doctorates'!E37)*100</f>
        <v>5.1282051282051277</v>
      </c>
      <c r="E36" s="109">
        <f>(Gender!BC37/'Total Doctorates'!F37)*100</f>
        <v>4.10958904109589</v>
      </c>
      <c r="F36" s="109">
        <f>(Gender!BD37/'Total Doctorates'!G37)*100</f>
        <v>4.7058823529411766</v>
      </c>
      <c r="G36" s="109">
        <f>(Gender!BE37/'Total Doctorates'!H37)*100</f>
        <v>11.538461538461538</v>
      </c>
      <c r="H36" s="109">
        <f>(Gender!BF37/'Total Doctorates'!I37)*100</f>
        <v>15.789473684210526</v>
      </c>
      <c r="I36" s="109">
        <f>(Gender!BG37/'Total Doctorates'!J37)*100</f>
        <v>11.594202898550725</v>
      </c>
      <c r="J36" s="109">
        <f>(Gender!BH37/'Total Doctorates'!K37)*100</f>
        <v>8.6206896551724146</v>
      </c>
      <c r="K36" s="109">
        <f>(Gender!BI37/'Total Doctorates'!L37)*100</f>
        <v>25.454545454545453</v>
      </c>
      <c r="L36" s="109">
        <f>(Gender!BJ37/'Total Doctorates'!M37)*100</f>
        <v>15.789473684210526</v>
      </c>
      <c r="M36" s="109">
        <f>(Gender!BK37/'Total Doctorates'!N37)*100</f>
        <v>24.358974358974358</v>
      </c>
      <c r="N36" s="109">
        <f>(Gender!BL37/'Total Doctorates'!O37)*100</f>
        <v>25</v>
      </c>
      <c r="O36" s="109">
        <f>(Gender!BM37/'Total Doctorates'!P37)*100</f>
        <v>18.367346938775512</v>
      </c>
      <c r="P36" s="109">
        <f>(Gender!BN37/'Total Doctorates'!Q37)*100</f>
        <v>27.27272727272727</v>
      </c>
      <c r="Q36" s="109">
        <f>(Gender!BO37/'Total Doctorates'!R37)*100</f>
        <v>25.409836065573771</v>
      </c>
      <c r="R36" s="109">
        <f>(Gender!BP37/'Total Doctorates'!S37)*100</f>
        <v>29.333333333333332</v>
      </c>
      <c r="S36" s="109">
        <f>(Gender!BQ37/'Total Doctorates'!T37)*100</f>
        <v>14.705882352941178</v>
      </c>
      <c r="T36" s="109">
        <f>(Gender!BR37/'Total Doctorates'!U37)*100</f>
        <v>32.87671232876712</v>
      </c>
      <c r="U36" s="109">
        <f>(Gender!BS37/'Total Doctorates'!V37)*100</f>
        <v>17.80821917808219</v>
      </c>
      <c r="V36" s="109">
        <f>(Gender!BT37/'Total Doctorates'!W37)*100</f>
        <v>24.137931034482758</v>
      </c>
      <c r="W36" s="109">
        <f>(Gender!BU37/'Total Doctorates'!X37)*100</f>
        <v>29.850746268656714</v>
      </c>
      <c r="X36" s="109">
        <f>(Gender!BV37/'Total Doctorates'!Y37)*100</f>
        <v>22</v>
      </c>
      <c r="Y36" s="109">
        <f>(Gender!BW37/'Total Doctorates'!Z37)*100</f>
        <v>30</v>
      </c>
      <c r="Z36" s="109">
        <f>(Gender!BX37/'Total Doctorates'!AA37)*100</f>
        <v>47.945205479452049</v>
      </c>
      <c r="AA36" s="109">
        <f>(Gender!BY37/'Total Doctorates'!AB37)*100</f>
        <v>30.158730158730158</v>
      </c>
      <c r="AB36" s="109">
        <f>(Gender!BZ37/'Total Doctorates'!AC37)*100</f>
        <v>34.615384615384613</v>
      </c>
      <c r="AC36" s="109">
        <f>(Gender!CA37/'Total Doctorates'!AD37)*100</f>
        <v>21.518987341772153</v>
      </c>
      <c r="AD36" s="109">
        <f>(Gender!CB37/'Total Doctorates'!AE37)*100</f>
        <v>34.375</v>
      </c>
      <c r="AE36" s="109">
        <f>(Gender!CC37/'Total Doctorates'!AF37)*100</f>
        <v>33.333333333333329</v>
      </c>
      <c r="AF36" s="109">
        <f>(Gender!CD37/'Total Doctorates'!AG37)*100</f>
        <v>39.726027397260275</v>
      </c>
      <c r="AG36" s="109">
        <f>(Gender!CE37/'Total Doctorates'!AH37)*100</f>
        <v>41.428571428571431</v>
      </c>
      <c r="AH36" s="109">
        <f>(Gender!CF37/'Total Doctorates'!AI37)*100</f>
        <v>40</v>
      </c>
      <c r="AI36" s="109">
        <f>(Gender!CG37/'Total Doctorates'!AJ37)*100</f>
        <v>41.071428571428569</v>
      </c>
      <c r="AJ36" s="109">
        <f>(Gender!CH37/'Total Doctorates'!AK37)*100</f>
        <v>40.476190476190474</v>
      </c>
      <c r="AK36" s="109">
        <f>(Gender!CI37/'Total Doctorates'!AL37)*100</f>
        <v>42.307692307692307</v>
      </c>
      <c r="AL36" s="109">
        <f>(Gender!CJ37/'Total Doctorates'!AM37)*100</f>
        <v>42.372881355932201</v>
      </c>
      <c r="AM36" s="109">
        <f>(Gender!CK37/'Total Doctorates'!AN37)*100</f>
        <v>37.704918032786885</v>
      </c>
      <c r="AN36" s="109">
        <f>(Gender!CL37/'Total Doctorates'!AO37)*100</f>
        <v>35.135135135135137</v>
      </c>
      <c r="AO36" s="109">
        <f>(Gender!CM37/'Total Doctorates'!AP37)*100</f>
        <v>55.072463768115945</v>
      </c>
      <c r="AP36" s="109">
        <f>(Gender!CN37/'Total Doctorates'!AQ37)*100</f>
        <v>50.724637681159422</v>
      </c>
      <c r="AQ36" s="109">
        <f>(Gender!CO37/'Total Doctorates'!AR37)*100</f>
        <v>32.307692307692307</v>
      </c>
      <c r="AR36" s="109">
        <f>(Gender!CP37/'Total Doctorates'!AS37)*100</f>
        <v>38.888888888888893</v>
      </c>
      <c r="AS36" s="109">
        <f>(Gender!CQ37/'Total Doctorates'!AT37)*100</f>
        <v>37.037037037037038</v>
      </c>
      <c r="AT36" s="109">
        <f>(Gender!CR37/'Total Doctorates'!AU37)*100</f>
        <v>41.121495327102799</v>
      </c>
      <c r="AU36" s="109">
        <f>(Gender!CS37/'Total Doctorates'!AV37)*100</f>
        <v>39.784946236559136</v>
      </c>
      <c r="AV36" s="109">
        <f>(Gender!CT37/'Total Doctorates'!AW37)*100</f>
        <v>41.414141414141412</v>
      </c>
      <c r="AW36" s="109">
        <f>(Gender!CU37/'Total Doctorates'!AX37)*100</f>
        <v>37.735849056603776</v>
      </c>
      <c r="AX36" s="109">
        <f>(Gender!CV37/'Total Doctorates'!AY37)*100</f>
        <v>43.362831858407077</v>
      </c>
      <c r="AY36" s="109">
        <f>(Gender!CW37/'Total Doctorates'!AZ37)*100</f>
        <v>49.056603773584904</v>
      </c>
    </row>
    <row r="37" spans="1:51">
      <c r="A37" s="37" t="s">
        <v>211</v>
      </c>
      <c r="B37" s="108">
        <f>(Gender!AZ38/'Total Doctorates'!C38)*100</f>
        <v>11.947042135126615</v>
      </c>
      <c r="C37" s="108">
        <f>(Gender!BA38/'Total Doctorates'!D38)*100</f>
        <v>13.001062493963103</v>
      </c>
      <c r="D37" s="108">
        <f>(Gender!BB38/'Total Doctorates'!E38)*100</f>
        <v>14.728074473297404</v>
      </c>
      <c r="E37" s="108">
        <f>(Gender!BC38/'Total Doctorates'!F38)*100</f>
        <v>16.817134076066079</v>
      </c>
      <c r="F37" s="108">
        <f>(Gender!BD38/'Total Doctorates'!G38)*100</f>
        <v>17.974082500741915</v>
      </c>
      <c r="G37" s="108">
        <f>(Gender!BE38/'Total Doctorates'!H38)*100</f>
        <v>19.727622619165103</v>
      </c>
      <c r="H37" s="108">
        <f>(Gender!BF38/'Total Doctorates'!I38)*100</f>
        <v>21.903292181069958</v>
      </c>
      <c r="I37" s="108">
        <f>(Gender!BG38/'Total Doctorates'!J38)*100</f>
        <v>23.096581833670534</v>
      </c>
      <c r="J37" s="108">
        <f>(Gender!BH38/'Total Doctorates'!K38)*100</f>
        <v>24.476381461675579</v>
      </c>
      <c r="K37" s="108">
        <f>(Gender!BI38/'Total Doctorates'!L38)*100</f>
        <v>27.385892116182575</v>
      </c>
      <c r="L37" s="108">
        <f>(Gender!BJ38/'Total Doctorates'!M38)*100</f>
        <v>28.267716535433067</v>
      </c>
      <c r="M37" s="108">
        <f>(Gender!BK38/'Total Doctorates'!N38)*100</f>
        <v>29.925464456558014</v>
      </c>
      <c r="N37" s="108">
        <f>(Gender!BL38/'Total Doctorates'!O38)*100</f>
        <v>29.574963932970817</v>
      </c>
      <c r="O37" s="108">
        <f>(Gender!BM38/'Total Doctorates'!P38)*100</f>
        <v>30.749828021096075</v>
      </c>
      <c r="P37" s="108">
        <f>(Gender!BN38/'Total Doctorates'!Q38)*100</f>
        <v>31.335483153563882</v>
      </c>
      <c r="Q37" s="108">
        <f>(Gender!BO38/'Total Doctorates'!R38)*100</f>
        <v>32.307692307692307</v>
      </c>
      <c r="R37" s="108">
        <f>(Gender!BP38/'Total Doctorates'!S38)*100</f>
        <v>33.728947665875438</v>
      </c>
      <c r="S37" s="108">
        <f>(Gender!BQ38/'Total Doctorates'!T38)*100</f>
        <v>34.317785527462945</v>
      </c>
      <c r="T37" s="108">
        <f>(Gender!BR38/'Total Doctorates'!U38)*100</f>
        <v>33.597446902167931</v>
      </c>
      <c r="U37" s="108">
        <f>(Gender!BS38/'Total Doctorates'!V38)*100</f>
        <v>33.71659746619823</v>
      </c>
      <c r="V37" s="108">
        <f>(Gender!BT38/'Total Doctorates'!W38)*100</f>
        <v>34.59037711313394</v>
      </c>
      <c r="W37" s="108">
        <f>(Gender!BU38/'Total Doctorates'!X38)*100</f>
        <v>35.7997511247248</v>
      </c>
      <c r="X37" s="108">
        <f>(Gender!BV38/'Total Doctorates'!Y38)*100</f>
        <v>35.954848260547742</v>
      </c>
      <c r="Y37" s="108">
        <f>(Gender!BW38/'Total Doctorates'!Z38)*100</f>
        <v>36.505891016200295</v>
      </c>
      <c r="Z37" s="108">
        <f>(Gender!BX38/'Total Doctorates'!AA38)*100</f>
        <v>37.524042664801541</v>
      </c>
      <c r="AA37" s="108">
        <f>(Gender!BY38/'Total Doctorates'!AB38)*100</f>
        <v>38.858741733084621</v>
      </c>
      <c r="AB37" s="108">
        <f>(Gender!BZ38/'Total Doctorates'!AC38)*100</f>
        <v>39.664710813076276</v>
      </c>
      <c r="AC37" s="108">
        <f>(Gender!CA38/'Total Doctorates'!AD38)*100</f>
        <v>40.61296265282197</v>
      </c>
      <c r="AD37" s="108">
        <f>(Gender!CB38/'Total Doctorates'!AE38)*100</f>
        <v>41.709543568464731</v>
      </c>
      <c r="AE37" s="108">
        <f>(Gender!CC38/'Total Doctorates'!AF38)*100</f>
        <v>42.762687634024303</v>
      </c>
      <c r="AF37" s="108">
        <f>(Gender!CD38/'Total Doctorates'!AG38)*100</f>
        <v>42.751518352257719</v>
      </c>
      <c r="AG37" s="108">
        <f>(Gender!CE38/'Total Doctorates'!AH38)*100</f>
        <v>43.943588856203498</v>
      </c>
      <c r="AH37" s="108">
        <f>(Gender!CF38/'Total Doctorates'!AI38)*100</f>
        <v>45.001349770539008</v>
      </c>
      <c r="AI37" s="108">
        <f>(Gender!CG38/'Total Doctorates'!AJ38)*100</f>
        <v>46.309246309246312</v>
      </c>
      <c r="AJ37" s="108">
        <f>(Gender!CH38/'Total Doctorates'!AK38)*100</f>
        <v>46.282051282051285</v>
      </c>
      <c r="AK37" s="108">
        <f>(Gender!CI38/'Total Doctorates'!AL38)*100</f>
        <v>48.310836574391821</v>
      </c>
      <c r="AL37" s="108">
        <f>(Gender!CJ38/'Total Doctorates'!AM38)*100</f>
        <v>48.506767886557327</v>
      </c>
      <c r="AM37" s="108">
        <f>(Gender!CK38/'Total Doctorates'!AN38)*100</f>
        <v>50.677999091675865</v>
      </c>
      <c r="AN37" s="108">
        <f>(Gender!CL38/'Total Doctorates'!AO38)*100</f>
        <v>50.557717250324252</v>
      </c>
      <c r="AO37" s="108">
        <f>(Gender!CM38/'Total Doctorates'!AP38)*100</f>
        <v>50.540989047461004</v>
      </c>
      <c r="AP37" s="108">
        <f>(Gender!CN38/'Total Doctorates'!AQ38)*100</f>
        <v>48.790436005625878</v>
      </c>
      <c r="AQ37" s="108">
        <f>(Gender!CO38/'Total Doctorates'!AR38)*100</f>
        <v>48.762233736326998</v>
      </c>
      <c r="AR37" s="108">
        <f>(Gender!CP38/'Total Doctorates'!AS38)*100</f>
        <v>47.923275544079672</v>
      </c>
      <c r="AS37" s="108">
        <f>(Gender!CQ38/'Total Doctorates'!AT38)*100</f>
        <v>47.398190045248867</v>
      </c>
      <c r="AT37" s="108">
        <f>(Gender!CR38/'Total Doctorates'!AU38)*100</f>
        <v>47.395904905867802</v>
      </c>
      <c r="AU37" s="108">
        <f>(Gender!CS38/'Total Doctorates'!AV38)*100</f>
        <v>48.019900497512438</v>
      </c>
      <c r="AV37" s="108">
        <f>(Gender!CT38/'Total Doctorates'!AW38)*100</f>
        <v>48.149134487350196</v>
      </c>
      <c r="AW37" s="108">
        <f>(Gender!CU38/'Total Doctorates'!AX38)*100</f>
        <v>47.060744611365116</v>
      </c>
      <c r="AX37" s="108">
        <f>(Gender!CV38/'Total Doctorates'!AY38)*100</f>
        <v>47.893713545042125</v>
      </c>
      <c r="AY37" s="108">
        <f>(Gender!CW38/'Total Doctorates'!AZ38)*100</f>
        <v>48.009564430657875</v>
      </c>
    </row>
    <row r="38" spans="1:51">
      <c r="A38" s="39"/>
      <c r="B38" s="108"/>
      <c r="C38" s="108"/>
      <c r="D38" s="108"/>
      <c r="E38" s="108"/>
      <c r="F38" s="108"/>
      <c r="G38" s="108"/>
      <c r="H38" s="108"/>
      <c r="I38" s="108"/>
      <c r="J38" s="108"/>
      <c r="K38" s="108"/>
      <c r="L38" s="108"/>
      <c r="M38" s="108"/>
      <c r="N38" s="108"/>
      <c r="O38" s="108"/>
      <c r="P38" s="108"/>
      <c r="Q38" s="108"/>
      <c r="R38" s="108"/>
      <c r="S38" s="108"/>
      <c r="T38" s="108"/>
      <c r="U38" s="108"/>
      <c r="V38" s="108"/>
      <c r="W38" s="108"/>
      <c r="X38" s="108"/>
      <c r="Y38" s="108"/>
      <c r="Z38" s="108"/>
      <c r="AA38" s="108"/>
      <c r="AB38" s="108"/>
      <c r="AC38" s="108"/>
      <c r="AD38" s="108"/>
      <c r="AE38" s="108"/>
      <c r="AF38" s="108"/>
      <c r="AG38" s="108"/>
      <c r="AH38" s="108"/>
      <c r="AI38" s="108"/>
      <c r="AJ38" s="108"/>
      <c r="AK38" s="108"/>
      <c r="AL38" s="108"/>
      <c r="AM38" s="108"/>
      <c r="AN38" s="108"/>
      <c r="AO38" s="108"/>
      <c r="AP38" s="108"/>
      <c r="AQ38" s="108"/>
      <c r="AR38" s="108"/>
      <c r="AS38" s="108"/>
      <c r="AT38" s="108"/>
      <c r="AU38" s="108"/>
      <c r="AV38" s="108"/>
      <c r="AW38" s="108"/>
      <c r="AX38" s="108"/>
      <c r="AY38" s="108"/>
    </row>
    <row r="39" spans="1:51">
      <c r="A39" s="37" t="s">
        <v>134</v>
      </c>
      <c r="B39" s="108">
        <f>(Gender!AZ40/'Total Doctorates'!C40)*100</f>
        <v>13.089560148383677</v>
      </c>
      <c r="C39" s="108">
        <f>(Gender!BA40/'Total Doctorates'!D40)*100</f>
        <v>13.806327900287632</v>
      </c>
      <c r="D39" s="108">
        <f>(Gender!BB40/'Total Doctorates'!E40)*100</f>
        <v>15.406162464985995</v>
      </c>
      <c r="E39" s="108">
        <f>(Gender!BC40/'Total Doctorates'!F40)*100</f>
        <v>17.676087931807984</v>
      </c>
      <c r="F39" s="108">
        <f>(Gender!BD40/'Total Doctorates'!G40)*100</f>
        <v>18.152424942263281</v>
      </c>
      <c r="G39" s="108">
        <f>(Gender!BE40/'Total Doctorates'!H40)*100</f>
        <v>19.755983106522759</v>
      </c>
      <c r="H39" s="108">
        <f>(Gender!BF40/'Total Doctorates'!I40)*100</f>
        <v>23.209876543209877</v>
      </c>
      <c r="I39" s="108">
        <f>(Gender!BG40/'Total Doctorates'!J40)*100</f>
        <v>21.979621542940318</v>
      </c>
      <c r="J39" s="108">
        <f>(Gender!BH40/'Total Doctorates'!K40)*100</f>
        <v>23.105656350053362</v>
      </c>
      <c r="K39" s="108">
        <f>(Gender!BI40/'Total Doctorates'!L40)*100</f>
        <v>24.086464230571281</v>
      </c>
      <c r="L39" s="108">
        <f>(Gender!BJ40/'Total Doctorates'!M40)*100</f>
        <v>28.472222222222221</v>
      </c>
      <c r="M39" s="108">
        <f>(Gender!BK40/'Total Doctorates'!N40)*100</f>
        <v>27.949094468918258</v>
      </c>
      <c r="N39" s="108">
        <f>(Gender!BL40/'Total Doctorates'!O40)*100</f>
        <v>25.983436853002068</v>
      </c>
      <c r="O39" s="108">
        <f>(Gender!BM40/'Total Doctorates'!P40)*100</f>
        <v>28.375527426160335</v>
      </c>
      <c r="P39" s="108">
        <f>(Gender!BN40/'Total Doctorates'!Q40)*100</f>
        <v>29.947643979057592</v>
      </c>
      <c r="Q39" s="108">
        <f>(Gender!BO40/'Total Doctorates'!R40)*100</f>
        <v>31.869758263443515</v>
      </c>
      <c r="R39" s="108">
        <f>(Gender!BP40/'Total Doctorates'!S40)*100</f>
        <v>34.628799202790233</v>
      </c>
      <c r="S39" s="108">
        <f>(Gender!BQ40/'Total Doctorates'!T40)*100</f>
        <v>33.026188166828327</v>
      </c>
      <c r="T39" s="108">
        <f>(Gender!BR40/'Total Doctorates'!U40)*100</f>
        <v>32.760223048327134</v>
      </c>
      <c r="U39" s="108">
        <f>(Gender!BS40/'Total Doctorates'!V40)*100</f>
        <v>35.477941176470587</v>
      </c>
      <c r="V39" s="108">
        <f>(Gender!BT40/'Total Doctorates'!W40)*100</f>
        <v>35.159817351598171</v>
      </c>
      <c r="W39" s="108">
        <f>(Gender!BU40/'Total Doctorates'!X40)*100</f>
        <v>35.361371988566766</v>
      </c>
      <c r="X39" s="108">
        <f>(Gender!BV40/'Total Doctorates'!Y40)*100</f>
        <v>34.87020534676482</v>
      </c>
      <c r="Y39" s="108">
        <f>(Gender!BW40/'Total Doctorates'!Z40)*100</f>
        <v>36.101499423298733</v>
      </c>
      <c r="Z39" s="108">
        <f>(Gender!BX40/'Total Doctorates'!AA40)*100</f>
        <v>37.38425925925926</v>
      </c>
      <c r="AA39" s="108">
        <f>(Gender!BY40/'Total Doctorates'!AB40)*100</f>
        <v>40.350877192982452</v>
      </c>
      <c r="AB39" s="108">
        <f>(Gender!BZ40/'Total Doctorates'!AC40)*100</f>
        <v>39.214924212980954</v>
      </c>
      <c r="AC39" s="108">
        <f>(Gender!CA40/'Total Doctorates'!AD40)*100</f>
        <v>40.787992495309567</v>
      </c>
      <c r="AD39" s="108">
        <f>(Gender!CB40/'Total Doctorates'!AE40)*100</f>
        <v>40.743494423791823</v>
      </c>
      <c r="AE39" s="108">
        <f>(Gender!CC40/'Total Doctorates'!AF40)*100</f>
        <v>42.339939024390247</v>
      </c>
      <c r="AF39" s="108">
        <f>(Gender!CD40/'Total Doctorates'!AG40)*100</f>
        <v>43.114491593274614</v>
      </c>
      <c r="AG39" s="108">
        <f>(Gender!CE40/'Total Doctorates'!AH40)*100</f>
        <v>44.028453762635714</v>
      </c>
      <c r="AH39" s="108">
        <f>(Gender!CF40/'Total Doctorates'!AI40)*100</f>
        <v>45.443786982248518</v>
      </c>
      <c r="AI39" s="108">
        <f>(Gender!CG40/'Total Doctorates'!AJ40)*100</f>
        <v>46.150870406189554</v>
      </c>
      <c r="AJ39" s="108">
        <f>(Gender!CH40/'Total Doctorates'!AK40)*100</f>
        <v>46.277021617293833</v>
      </c>
      <c r="AK39" s="108">
        <f>(Gender!CI40/'Total Doctorates'!AL40)*100</f>
        <v>48.582848837209305</v>
      </c>
      <c r="AL39" s="108">
        <f>(Gender!CJ40/'Total Doctorates'!AM40)*100</f>
        <v>47.353662811076056</v>
      </c>
      <c r="AM39" s="108">
        <f>(Gender!CK40/'Total Doctorates'!AN40)*100</f>
        <v>48.579920739762215</v>
      </c>
      <c r="AN39" s="108">
        <f>(Gender!CL40/'Total Doctorates'!AO40)*100</f>
        <v>48.445767195767196</v>
      </c>
      <c r="AO39" s="108">
        <f>(Gender!CM40/'Total Doctorates'!AP40)*100</f>
        <v>48.636037329504667</v>
      </c>
      <c r="AP39" s="108">
        <f>(Gender!CN40/'Total Doctorates'!AQ40)*100</f>
        <v>45.773276197896379</v>
      </c>
      <c r="AQ39" s="108">
        <f>(Gender!CO40/'Total Doctorates'!AR40)*100</f>
        <v>46.415508412582298</v>
      </c>
      <c r="AR39" s="108">
        <f>(Gender!CP40/'Total Doctorates'!AS40)*100</f>
        <v>47.562258856541561</v>
      </c>
      <c r="AS39" s="108">
        <f>(Gender!CQ40/'Total Doctorates'!AT40)*100</f>
        <v>47.385620915032675</v>
      </c>
      <c r="AT39" s="108">
        <f>(Gender!CR40/'Total Doctorates'!AU40)*100</f>
        <v>46.820809248554909</v>
      </c>
      <c r="AU39" s="108">
        <f>(Gender!CS40/'Total Doctorates'!AV40)*100</f>
        <v>46.478416098669264</v>
      </c>
      <c r="AV39" s="108">
        <f>(Gender!CT40/'Total Doctorates'!AW40)*100</f>
        <v>48.59201047806156</v>
      </c>
      <c r="AW39" s="108">
        <f>(Gender!CU40/'Total Doctorates'!AX40)*100</f>
        <v>47.737556561085974</v>
      </c>
      <c r="AX39" s="108">
        <f>(Gender!CV40/'Total Doctorates'!AY40)*100</f>
        <v>46.5055519268452</v>
      </c>
      <c r="AY39" s="108">
        <f>(Gender!CW40/'Total Doctorates'!AZ40)*100</f>
        <v>46.095238095238095</v>
      </c>
    </row>
    <row r="40" spans="1:51">
      <c r="A40" s="37" t="s">
        <v>135</v>
      </c>
      <c r="B40" s="108">
        <f>(Gender!AZ41/'Total Doctorates'!C41)*100</f>
        <v>10.434120335110435</v>
      </c>
      <c r="C40" s="108">
        <f>(Gender!BA41/'Total Doctorates'!D41)*100</f>
        <v>12.103321033210332</v>
      </c>
      <c r="D40" s="108">
        <f>(Gender!BB41/'Total Doctorates'!E41)*100</f>
        <v>14.05775075987842</v>
      </c>
      <c r="E40" s="108">
        <f>(Gender!BC41/'Total Doctorates'!F41)*100</f>
        <v>16.746031746031743</v>
      </c>
      <c r="F40" s="108">
        <f>(Gender!BD41/'Total Doctorates'!G41)*100</f>
        <v>18.567026194144841</v>
      </c>
      <c r="G40" s="108">
        <f>(Gender!BE41/'Total Doctorates'!H41)*100</f>
        <v>19.153846153846153</v>
      </c>
      <c r="H40" s="108">
        <f>(Gender!BF41/'Total Doctorates'!I41)*100</f>
        <v>19.370860927152318</v>
      </c>
      <c r="I40" s="108">
        <f>(Gender!BG41/'Total Doctorates'!J41)*100</f>
        <v>21.212121212121211</v>
      </c>
      <c r="J40" s="108">
        <f>(Gender!BH41/'Total Doctorates'!K41)*100</f>
        <v>22.068965517241381</v>
      </c>
      <c r="K40" s="108">
        <f>(Gender!BI41/'Total Doctorates'!L41)*100</f>
        <v>25.631067961165048</v>
      </c>
      <c r="L40" s="108">
        <f>(Gender!BJ41/'Total Doctorates'!M41)*100</f>
        <v>25.096525096525095</v>
      </c>
      <c r="M40" s="108">
        <f>(Gender!BK41/'Total Doctorates'!N41)*100</f>
        <v>26.98564593301435</v>
      </c>
      <c r="N40" s="108">
        <f>(Gender!BL41/'Total Doctorates'!O41)*100</f>
        <v>30.8</v>
      </c>
      <c r="O40" s="108">
        <f>(Gender!BM41/'Total Doctorates'!P41)*100</f>
        <v>30.531400966183575</v>
      </c>
      <c r="P40" s="108">
        <f>(Gender!BN41/'Total Doctorates'!Q41)*100</f>
        <v>29.920477137176938</v>
      </c>
      <c r="Q40" s="108">
        <f>(Gender!BO41/'Total Doctorates'!R41)*100</f>
        <v>31.604696673189824</v>
      </c>
      <c r="R40" s="108">
        <f>(Gender!BP41/'Total Doctorates'!S41)*100</f>
        <v>32.546201232032857</v>
      </c>
      <c r="S40" s="108">
        <f>(Gender!BQ41/'Total Doctorates'!T41)*100</f>
        <v>36.194415718717678</v>
      </c>
      <c r="T40" s="108">
        <f>(Gender!BR41/'Total Doctorates'!U41)*100</f>
        <v>30.074388947927737</v>
      </c>
      <c r="U40" s="108">
        <f>(Gender!BS41/'Total Doctorates'!V41)*100</f>
        <v>31.912681912681911</v>
      </c>
      <c r="V40" s="108">
        <f>(Gender!BT41/'Total Doctorates'!W41)*100</f>
        <v>30</v>
      </c>
      <c r="W40" s="108">
        <f>(Gender!BU41/'Total Doctorates'!X41)*100</f>
        <v>34.046692607003891</v>
      </c>
      <c r="X40" s="108">
        <f>(Gender!BV41/'Total Doctorates'!Y41)*100</f>
        <v>35.188509874326748</v>
      </c>
      <c r="Y40" s="108">
        <f>(Gender!BW41/'Total Doctorates'!Z41)*100</f>
        <v>33.785004516711837</v>
      </c>
      <c r="Z40" s="108">
        <f>(Gender!BX41/'Total Doctorates'!AA41)*100</f>
        <v>33.363553943789661</v>
      </c>
      <c r="AA40" s="108">
        <f>(Gender!BY41/'Total Doctorates'!AB41)*100</f>
        <v>36.284722222222221</v>
      </c>
      <c r="AB40" s="108">
        <f>(Gender!BZ41/'Total Doctorates'!AC41)*100</f>
        <v>35.629251700680271</v>
      </c>
      <c r="AC40" s="108">
        <f>(Gender!CA41/'Total Doctorates'!AD41)*100</f>
        <v>36.84210526315789</v>
      </c>
      <c r="AD40" s="108">
        <f>(Gender!CB41/'Total Doctorates'!AE41)*100</f>
        <v>40.269058295964129</v>
      </c>
      <c r="AE40" s="108">
        <f>(Gender!CC41/'Total Doctorates'!AF41)*100</f>
        <v>39.568345323741006</v>
      </c>
      <c r="AF40" s="108">
        <f>(Gender!CD41/'Total Doctorates'!AG41)*100</f>
        <v>39.25925925925926</v>
      </c>
      <c r="AG40" s="108">
        <f>(Gender!CE41/'Total Doctorates'!AH41)*100</f>
        <v>40.373197625106023</v>
      </c>
      <c r="AH40" s="108">
        <f>(Gender!CF41/'Total Doctorates'!AI41)*100</f>
        <v>40.117416829745594</v>
      </c>
      <c r="AI40" s="108">
        <f>(Gender!CG41/'Total Doctorates'!AJ41)*100</f>
        <v>39.494333042720143</v>
      </c>
      <c r="AJ40" s="108">
        <f>(Gender!CH41/'Total Doctorates'!AK41)*100</f>
        <v>39.679715302491104</v>
      </c>
      <c r="AK40" s="108">
        <f>(Gender!CI41/'Total Doctorates'!AL41)*100</f>
        <v>44.18070444104135</v>
      </c>
      <c r="AL40" s="108">
        <f>(Gender!CJ41/'Total Doctorates'!AM41)*100</f>
        <v>42.997888810696693</v>
      </c>
      <c r="AM40" s="108">
        <f>(Gender!CK41/'Total Doctorates'!AN41)*100</f>
        <v>43.546195652173914</v>
      </c>
      <c r="AN40" s="108">
        <f>(Gender!CL41/'Total Doctorates'!AO41)*100</f>
        <v>42.529534398888117</v>
      </c>
      <c r="AO40" s="108">
        <f>(Gender!CM41/'Total Doctorates'!AP41)*100</f>
        <v>43.606557377049185</v>
      </c>
      <c r="AP40" s="108">
        <f>(Gender!CN41/'Total Doctorates'!AQ41)*100</f>
        <v>42.008486562942011</v>
      </c>
      <c r="AQ40" s="108">
        <f>(Gender!CO41/'Total Doctorates'!AR41)*100</f>
        <v>43.393602225312932</v>
      </c>
      <c r="AR40" s="108">
        <f>(Gender!CP41/'Total Doctorates'!AS41)*100</f>
        <v>43.17732366512854</v>
      </c>
      <c r="AS40" s="108">
        <f>(Gender!CQ41/'Total Doctorates'!AT41)*100</f>
        <v>42.498430634023855</v>
      </c>
      <c r="AT40" s="108">
        <f>(Gender!CR41/'Total Doctorates'!AU41)*100</f>
        <v>41.226472374013355</v>
      </c>
      <c r="AU40" s="108">
        <f>(Gender!CS41/'Total Doctorates'!AV41)*100</f>
        <v>45.662100456621005</v>
      </c>
      <c r="AV40" s="108">
        <f>(Gender!CT41/'Total Doctorates'!AW41)*100</f>
        <v>42.704626334519574</v>
      </c>
      <c r="AW40" s="108">
        <f>(Gender!CU41/'Total Doctorates'!AX41)*100</f>
        <v>41.059225512528471</v>
      </c>
      <c r="AX40" s="108">
        <f>(Gender!CV41/'Total Doctorates'!AY41)*100</f>
        <v>43.485431555799892</v>
      </c>
      <c r="AY40" s="108">
        <f>(Gender!CW41/'Total Doctorates'!AZ41)*100</f>
        <v>44.208715596330272</v>
      </c>
    </row>
    <row r="41" spans="1:51">
      <c r="A41" s="37" t="s">
        <v>132</v>
      </c>
      <c r="B41" s="108">
        <f>(Gender!AZ42/'Total Doctorates'!C42)*100</f>
        <v>8.589951377633712</v>
      </c>
      <c r="C41" s="108">
        <f>(Gender!BA42/'Total Doctorates'!D42)*100</f>
        <v>8.2621082621082618</v>
      </c>
      <c r="D41" s="108">
        <f>(Gender!BB42/'Total Doctorates'!E42)*100</f>
        <v>11.200000000000001</v>
      </c>
      <c r="E41" s="108">
        <f>(Gender!BC42/'Total Doctorates'!F42)*100</f>
        <v>9.79782270606532</v>
      </c>
      <c r="F41" s="108">
        <f>(Gender!BD42/'Total Doctorates'!G42)*100</f>
        <v>12.56637168141593</v>
      </c>
      <c r="G41" s="108">
        <f>(Gender!BE42/'Total Doctorates'!H42)*100</f>
        <v>12.704174228675136</v>
      </c>
      <c r="H41" s="108">
        <f>(Gender!BF42/'Total Doctorates'!I42)*100</f>
        <v>14.612676056338028</v>
      </c>
      <c r="I41" s="108">
        <f>(Gender!BG42/'Total Doctorates'!J42)*100</f>
        <v>17.5</v>
      </c>
      <c r="J41" s="108">
        <f>(Gender!BH42/'Total Doctorates'!K42)*100</f>
        <v>18.83495145631068</v>
      </c>
      <c r="K41" s="108">
        <f>(Gender!BI42/'Total Doctorates'!L42)*100</f>
        <v>22.282608695652172</v>
      </c>
      <c r="L41" s="108">
        <f>(Gender!BJ42/'Total Doctorates'!M42)*100</f>
        <v>26.127819548872182</v>
      </c>
      <c r="M41" s="108">
        <f>(Gender!BK42/'Total Doctorates'!N42)*100</f>
        <v>26.570915619389584</v>
      </c>
      <c r="N41" s="108">
        <f>(Gender!BL42/'Total Doctorates'!O42)*100</f>
        <v>25.601374570446733</v>
      </c>
      <c r="O41" s="108">
        <f>(Gender!BM42/'Total Doctorates'!P42)*100</f>
        <v>25.971370143149286</v>
      </c>
      <c r="P41" s="108">
        <f>(Gender!BN42/'Total Doctorates'!Q42)*100</f>
        <v>29.166666666666668</v>
      </c>
      <c r="Q41" s="108">
        <f>(Gender!BO42/'Total Doctorates'!R42)*100</f>
        <v>25.089605734767023</v>
      </c>
      <c r="R41" s="108">
        <f>(Gender!BP42/'Total Doctorates'!S42)*100</f>
        <v>29.050279329608941</v>
      </c>
      <c r="S41" s="108">
        <f>(Gender!BQ42/'Total Doctorates'!T42)*100</f>
        <v>26.644736842105267</v>
      </c>
      <c r="T41" s="108">
        <f>(Gender!BR42/'Total Doctorates'!U42)*100</f>
        <v>31.306990881458969</v>
      </c>
      <c r="U41" s="108">
        <f>(Gender!BS42/'Total Doctorates'!V42)*100</f>
        <v>32.055749128919857</v>
      </c>
      <c r="V41" s="108">
        <f>(Gender!BT42/'Total Doctorates'!W42)*100</f>
        <v>32.615894039735096</v>
      </c>
      <c r="W41" s="108">
        <f>(Gender!BU42/'Total Doctorates'!X42)*100</f>
        <v>31.268011527377521</v>
      </c>
      <c r="X41" s="108">
        <f>(Gender!BV42/'Total Doctorates'!Y42)*100</f>
        <v>33.667621776504298</v>
      </c>
      <c r="Y41" s="108">
        <f>(Gender!BW42/'Total Doctorates'!Z42)*100</f>
        <v>30.014641288433381</v>
      </c>
      <c r="Z41" s="108">
        <f>(Gender!BX42/'Total Doctorates'!AA42)*100</f>
        <v>33.817126269956461</v>
      </c>
      <c r="AA41" s="108">
        <f>(Gender!BY42/'Total Doctorates'!AB42)*100</f>
        <v>34.110787172011662</v>
      </c>
      <c r="AB41" s="108">
        <f>(Gender!BZ42/'Total Doctorates'!AC42)*100</f>
        <v>34.180790960451979</v>
      </c>
      <c r="AC41" s="108">
        <f>(Gender!CA42/'Total Doctorates'!AD42)*100</f>
        <v>37.867078825347761</v>
      </c>
      <c r="AD41" s="108">
        <f>(Gender!CB42/'Total Doctorates'!AE42)*100</f>
        <v>35.339506172839506</v>
      </c>
      <c r="AE41" s="108">
        <f>(Gender!CC42/'Total Doctorates'!AF42)*100</f>
        <v>39.693356047700171</v>
      </c>
      <c r="AF41" s="108">
        <f>(Gender!CD42/'Total Doctorates'!AG42)*100</f>
        <v>35.325131810193319</v>
      </c>
      <c r="AG41" s="108">
        <f>(Gender!CE42/'Total Doctorates'!AH42)*100</f>
        <v>41.329011345218802</v>
      </c>
      <c r="AH41" s="108">
        <f>(Gender!CF42/'Total Doctorates'!AI42)*100</f>
        <v>39.032815198618309</v>
      </c>
      <c r="AI41" s="108">
        <f>(Gender!CG42/'Total Doctorates'!AJ42)*100</f>
        <v>43.675889328063242</v>
      </c>
      <c r="AJ41" s="108">
        <f>(Gender!CH42/'Total Doctorates'!AK42)*100</f>
        <v>42.244224422442244</v>
      </c>
      <c r="AK41" s="108">
        <f>(Gender!CI42/'Total Doctorates'!AL42)*100</f>
        <v>45.089285714285715</v>
      </c>
      <c r="AL41" s="108">
        <f>(Gender!CJ42/'Total Doctorates'!AM42)*100</f>
        <v>48.880597014925378</v>
      </c>
      <c r="AM41" s="108">
        <f>(Gender!CK42/'Total Doctorates'!AN42)*100</f>
        <v>48.177676537585427</v>
      </c>
      <c r="AN41" s="108">
        <f>(Gender!CL42/'Total Doctorates'!AO42)*100</f>
        <v>50.393700787401571</v>
      </c>
      <c r="AO41" s="108">
        <f>(Gender!CM42/'Total Doctorates'!AP42)*100</f>
        <v>51.206140350877192</v>
      </c>
      <c r="AP41" s="108">
        <f>(Gender!CN42/'Total Doctorates'!AQ42)*100</f>
        <v>47.116736990154713</v>
      </c>
      <c r="AQ41" s="108">
        <f>(Gender!CO42/'Total Doctorates'!AR42)*100</f>
        <v>47.146401985111666</v>
      </c>
      <c r="AR41" s="108">
        <f>(Gender!CP42/'Total Doctorates'!AS42)*100</f>
        <v>44.683393070489849</v>
      </c>
      <c r="AS41" s="108">
        <f>(Gender!CQ42/'Total Doctorates'!AT42)*100</f>
        <v>49.503858875413457</v>
      </c>
      <c r="AT41" s="108">
        <f>(Gender!CR42/'Total Doctorates'!AU42)*100</f>
        <v>49.941656942823805</v>
      </c>
      <c r="AU41" s="108">
        <f>(Gender!CS42/'Total Doctorates'!AV42)*100</f>
        <v>46.894803548795942</v>
      </c>
      <c r="AV41" s="108">
        <f>(Gender!CT42/'Total Doctorates'!AW42)*100</f>
        <v>46.566791510611736</v>
      </c>
      <c r="AW41" s="108">
        <f>(Gender!CU42/'Total Doctorates'!AX42)*100</f>
        <v>45.542168674698793</v>
      </c>
      <c r="AX41" s="108">
        <f>(Gender!CV42/'Total Doctorates'!AY42)*100</f>
        <v>46.779661016949156</v>
      </c>
      <c r="AY41" s="108">
        <f>(Gender!CW42/'Total Doctorates'!AZ42)*100</f>
        <v>47.692307692307693</v>
      </c>
    </row>
    <row r="42" spans="1:51">
      <c r="A42" s="37" t="s">
        <v>136</v>
      </c>
      <c r="B42" s="108">
        <f>(Gender!AZ43/'Total Doctorates'!C43)*100</f>
        <v>11.568123393316196</v>
      </c>
      <c r="C42" s="108">
        <f>(Gender!BA43/'Total Doctorates'!D43)*100</f>
        <v>12.919896640826872</v>
      </c>
      <c r="D42" s="108">
        <f>(Gender!BB43/'Total Doctorates'!E43)*100</f>
        <v>12.56544502617801</v>
      </c>
      <c r="E42" s="108">
        <f>(Gender!BC43/'Total Doctorates'!F43)*100</f>
        <v>17.475728155339805</v>
      </c>
      <c r="F42" s="108">
        <f>(Gender!BD43/'Total Doctorates'!G43)*100</f>
        <v>17.449664429530202</v>
      </c>
      <c r="G42" s="108">
        <f>(Gender!BE43/'Total Doctorates'!H43)*100</f>
        <v>20.982142857142858</v>
      </c>
      <c r="H42" s="108">
        <f>(Gender!BF43/'Total Doctorates'!I43)*100</f>
        <v>25.454545454545453</v>
      </c>
      <c r="I42" s="108">
        <f>(Gender!BG43/'Total Doctorates'!J43)*100</f>
        <v>23.243243243243246</v>
      </c>
      <c r="J42" s="108">
        <f>(Gender!BH43/'Total Doctorates'!K43)*100</f>
        <v>25.833333333333336</v>
      </c>
      <c r="K42" s="108">
        <f>(Gender!BI43/'Total Doctorates'!L43)*100</f>
        <v>29.166666666666668</v>
      </c>
      <c r="L42" s="108">
        <f>(Gender!BJ43/'Total Doctorates'!M43)*100</f>
        <v>29.381443298969074</v>
      </c>
      <c r="M42" s="108">
        <f>(Gender!BK43/'Total Doctorates'!N43)*100</f>
        <v>29.810298102981029</v>
      </c>
      <c r="N42" s="108">
        <f>(Gender!BL43/'Total Doctorates'!O43)*100</f>
        <v>36.760925449871465</v>
      </c>
      <c r="O42" s="108">
        <f>(Gender!BM43/'Total Doctorates'!P43)*100</f>
        <v>31.944444444444443</v>
      </c>
      <c r="P42" s="108">
        <f>(Gender!BN43/'Total Doctorates'!Q43)*100</f>
        <v>33.157894736842103</v>
      </c>
      <c r="Q42" s="108">
        <f>(Gender!BO43/'Total Doctorates'!R43)*100</f>
        <v>35.087719298245609</v>
      </c>
      <c r="R42" s="108">
        <f>(Gender!BP43/'Total Doctorates'!S43)*100</f>
        <v>34.472934472934476</v>
      </c>
      <c r="S42" s="108">
        <f>(Gender!BQ43/'Total Doctorates'!T43)*100</f>
        <v>36.760925449871465</v>
      </c>
      <c r="T42" s="108">
        <f>(Gender!BR43/'Total Doctorates'!U43)*100</f>
        <v>39.095744680851062</v>
      </c>
      <c r="U42" s="108">
        <f>(Gender!BS43/'Total Doctorates'!V43)*100</f>
        <v>33.509234828496041</v>
      </c>
      <c r="V42" s="108">
        <f>(Gender!BT43/'Total Doctorates'!W43)*100</f>
        <v>31.79190751445087</v>
      </c>
      <c r="W42" s="108">
        <f>(Gender!BU43/'Total Doctorates'!X43)*100</f>
        <v>37.669376693766935</v>
      </c>
      <c r="X42" s="108">
        <f>(Gender!BV43/'Total Doctorates'!Y43)*100</f>
        <v>37.583892617449663</v>
      </c>
      <c r="Y42" s="108">
        <f>(Gender!BW43/'Total Doctorates'!Z43)*100</f>
        <v>44.961240310077521</v>
      </c>
      <c r="Z42" s="108">
        <f>(Gender!BX43/'Total Doctorates'!AA43)*100</f>
        <v>41.445783132530124</v>
      </c>
      <c r="AA42" s="108">
        <f>(Gender!BY43/'Total Doctorates'!AB43)*100</f>
        <v>38.666666666666664</v>
      </c>
      <c r="AB42" s="108">
        <f>(Gender!BZ43/'Total Doctorates'!AC43)*100</f>
        <v>41.702127659574465</v>
      </c>
      <c r="AC42" s="108">
        <f>(Gender!CA43/'Total Doctorates'!AD43)*100</f>
        <v>39.702760084925693</v>
      </c>
      <c r="AD42" s="108">
        <f>(Gender!CB43/'Total Doctorates'!AE43)*100</f>
        <v>41.683778234086247</v>
      </c>
      <c r="AE42" s="108">
        <f>(Gender!CC43/'Total Doctorates'!AF43)*100</f>
        <v>43.807339449541281</v>
      </c>
      <c r="AF42" s="108">
        <f>(Gender!CD43/'Total Doctorates'!AG43)*100</f>
        <v>47.368421052631575</v>
      </c>
      <c r="AG42" s="108">
        <f>(Gender!CE43/'Total Doctorates'!AH43)*100</f>
        <v>44.600938967136152</v>
      </c>
      <c r="AH42" s="108">
        <f>(Gender!CF43/'Total Doctorates'!AI43)*100</f>
        <v>45.432692307692307</v>
      </c>
      <c r="AI42" s="108">
        <f>(Gender!CG43/'Total Doctorates'!AJ43)*100</f>
        <v>49.75845410628019</v>
      </c>
      <c r="AJ42" s="108">
        <f>(Gender!CH43/'Total Doctorates'!AK43)*100</f>
        <v>48.036951501154732</v>
      </c>
      <c r="AK42" s="108">
        <f>(Gender!CI43/'Total Doctorates'!AL43)*100</f>
        <v>44.309927360774822</v>
      </c>
      <c r="AL42" s="108">
        <f>(Gender!CJ43/'Total Doctorates'!AM43)*100</f>
        <v>47.119341563786008</v>
      </c>
      <c r="AM42" s="108">
        <f>(Gender!CK43/'Total Doctorates'!AN43)*100</f>
        <v>54.07554671968191</v>
      </c>
      <c r="AN42" s="108">
        <f>(Gender!CL43/'Total Doctorates'!AO43)*100</f>
        <v>55.740740740740748</v>
      </c>
      <c r="AO42" s="108">
        <f>(Gender!CM43/'Total Doctorates'!AP43)*100</f>
        <v>48.237885462555063</v>
      </c>
      <c r="AP42" s="108">
        <f>(Gender!CN43/'Total Doctorates'!AQ43)*100</f>
        <v>49.27835051546392</v>
      </c>
      <c r="AQ42" s="108">
        <f>(Gender!CO43/'Total Doctorates'!AR43)*100</f>
        <v>49.080882352941174</v>
      </c>
      <c r="AR42" s="108">
        <f>(Gender!CP43/'Total Doctorates'!AS43)*100</f>
        <v>51.361867704280151</v>
      </c>
      <c r="AS42" s="108">
        <f>(Gender!CQ43/'Total Doctorates'!AT43)*100</f>
        <v>44.880546075085327</v>
      </c>
      <c r="AT42" s="108">
        <f>(Gender!CR43/'Total Doctorates'!AU43)*100</f>
        <v>48.909090909090907</v>
      </c>
      <c r="AU42" s="108">
        <f>(Gender!CS43/'Total Doctorates'!AV43)*100</f>
        <v>50.305810397553522</v>
      </c>
      <c r="AV42" s="108">
        <f>(Gender!CT43/'Total Doctorates'!AW43)*100</f>
        <v>49.41569282136895</v>
      </c>
      <c r="AW42" s="108">
        <f>(Gender!CU43/'Total Doctorates'!AX43)*100</f>
        <v>49.293563579277865</v>
      </c>
      <c r="AX42" s="108">
        <f>(Gender!CV43/'Total Doctorates'!AY43)*100</f>
        <v>48.982785602503917</v>
      </c>
      <c r="AY42" s="108">
        <f>(Gender!CW43/'Total Doctorates'!AZ43)*100</f>
        <v>46.960486322188451</v>
      </c>
    </row>
    <row r="43" spans="1:51">
      <c r="A43" s="37" t="s">
        <v>139</v>
      </c>
      <c r="B43" s="108">
        <f>(Gender!AZ44/'Total Doctorates'!C44)*100</f>
        <v>11.60431198478123</v>
      </c>
      <c r="C43" s="108">
        <f>(Gender!BA44/'Total Doctorates'!D44)*100</f>
        <v>13.385387618516454</v>
      </c>
      <c r="D43" s="108">
        <f>(Gender!BB44/'Total Doctorates'!E44)*100</f>
        <v>15.263157894736842</v>
      </c>
      <c r="E43" s="108">
        <f>(Gender!BC44/'Total Doctorates'!F44)*100</f>
        <v>17.519908987485781</v>
      </c>
      <c r="F43" s="108">
        <f>(Gender!BD44/'Total Doctorates'!G44)*100</f>
        <v>20.79646017699115</v>
      </c>
      <c r="G43" s="108">
        <f>(Gender!BE44/'Total Doctorates'!H44)*100</f>
        <v>19.204892966360855</v>
      </c>
      <c r="H43" s="108">
        <f>(Gender!BF44/'Total Doctorates'!I44)*100</f>
        <v>25.233644859813083</v>
      </c>
      <c r="I43" s="108">
        <f>(Gender!BG44/'Total Doctorates'!J44)*100</f>
        <v>24.800531914893618</v>
      </c>
      <c r="J43" s="108">
        <f>(Gender!BH44/'Total Doctorates'!K44)*100</f>
        <v>26.905829596412556</v>
      </c>
      <c r="K43" s="108">
        <f>(Gender!BI44/'Total Doctorates'!L44)*100</f>
        <v>29.640084685956246</v>
      </c>
      <c r="L43" s="108">
        <f>(Gender!BJ44/'Total Doctorates'!M44)*100</f>
        <v>28.410794602698651</v>
      </c>
      <c r="M43" s="108">
        <f>(Gender!BK44/'Total Doctorates'!N44)*100</f>
        <v>30.610687022900763</v>
      </c>
      <c r="N43" s="108">
        <f>(Gender!BL44/'Total Doctorates'!O44)*100</f>
        <v>30.180806675938804</v>
      </c>
      <c r="O43" s="108">
        <f>(Gender!BM44/'Total Doctorates'!P44)*100</f>
        <v>31.814895155459144</v>
      </c>
      <c r="P43" s="108">
        <f>(Gender!BN44/'Total Doctorates'!Q44)*100</f>
        <v>34.39077144917087</v>
      </c>
      <c r="Q43" s="108">
        <f>(Gender!BO44/'Total Doctorates'!R44)*100</f>
        <v>31.374106433677522</v>
      </c>
      <c r="R43" s="108">
        <f>(Gender!BP44/'Total Doctorates'!S44)*100</f>
        <v>35.376260667183864</v>
      </c>
      <c r="S43" s="108">
        <f>(Gender!BQ44/'Total Doctorates'!T44)*100</f>
        <v>34.822104466313398</v>
      </c>
      <c r="T43" s="108">
        <f>(Gender!BR44/'Total Doctorates'!U44)*100</f>
        <v>33.602584814216478</v>
      </c>
      <c r="U43" s="108">
        <f>(Gender!BS44/'Total Doctorates'!V44)*100</f>
        <v>31.957989497374346</v>
      </c>
      <c r="V43" s="108">
        <f>(Gender!BT44/'Total Doctorates'!W44)*100</f>
        <v>34.577303884234581</v>
      </c>
      <c r="W43" s="108">
        <f>(Gender!BU44/'Total Doctorates'!X44)*100</f>
        <v>36.045729657027572</v>
      </c>
      <c r="X43" s="108">
        <f>(Gender!BV44/'Total Doctorates'!Y44)*100</f>
        <v>33.570045190445448</v>
      </c>
      <c r="Y43" s="108">
        <f>(Gender!BW44/'Total Doctorates'!Z44)*100</f>
        <v>36.219431592861859</v>
      </c>
      <c r="Z43" s="108">
        <f>(Gender!BX44/'Total Doctorates'!AA44)*100</f>
        <v>37.221847606203639</v>
      </c>
      <c r="AA43" s="108">
        <f>(Gender!BY44/'Total Doctorates'!AB44)*100</f>
        <v>37.532299741602067</v>
      </c>
      <c r="AB43" s="108">
        <f>(Gender!BZ44/'Total Doctorates'!AC44)*100</f>
        <v>38.986232790988737</v>
      </c>
      <c r="AC43" s="108">
        <f>(Gender!CA44/'Total Doctorates'!AD44)*100</f>
        <v>38.337801608579085</v>
      </c>
      <c r="AD43" s="108">
        <f>(Gender!CB44/'Total Doctorates'!AE44)*100</f>
        <v>41.980830670926515</v>
      </c>
      <c r="AE43" s="108">
        <f>(Gender!CC44/'Total Doctorates'!AF44)*100</f>
        <v>39.622641509433961</v>
      </c>
      <c r="AF43" s="108">
        <f>(Gender!CD44/'Total Doctorates'!AG44)*100</f>
        <v>41.243315508021389</v>
      </c>
      <c r="AG43" s="108">
        <f>(Gender!CE44/'Total Doctorates'!AH44)*100</f>
        <v>44.26229508196721</v>
      </c>
      <c r="AH43" s="108">
        <f>(Gender!CF44/'Total Doctorates'!AI44)*100</f>
        <v>44.68937875751503</v>
      </c>
      <c r="AI43" s="108">
        <f>(Gender!CG44/'Total Doctorates'!AJ44)*100</f>
        <v>43.081967213114751</v>
      </c>
      <c r="AJ43" s="108">
        <f>(Gender!CH44/'Total Doctorates'!AK44)*100</f>
        <v>44.323284156510582</v>
      </c>
      <c r="AK43" s="108">
        <f>(Gender!CI44/'Total Doctorates'!AL44)*100</f>
        <v>45.287637698898408</v>
      </c>
      <c r="AL43" s="108">
        <f>(Gender!CJ44/'Total Doctorates'!AM44)*100</f>
        <v>47.156267255659856</v>
      </c>
      <c r="AM43" s="108">
        <f>(Gender!CK44/'Total Doctorates'!AN44)*100</f>
        <v>48.265306122448983</v>
      </c>
      <c r="AN43" s="108">
        <f>(Gender!CL44/'Total Doctorates'!AO44)*100</f>
        <v>46.607341490545053</v>
      </c>
      <c r="AO43" s="108">
        <f>(Gender!CM44/'Total Doctorates'!AP44)*100</f>
        <v>44.951801116184676</v>
      </c>
      <c r="AP43" s="108">
        <f>(Gender!CN44/'Total Doctorates'!AQ44)*100</f>
        <v>43.858695652173914</v>
      </c>
      <c r="AQ43" s="108">
        <f>(Gender!CO44/'Total Doctorates'!AR44)*100</f>
        <v>47.781934794227688</v>
      </c>
      <c r="AR43" s="108">
        <f>(Gender!CP44/'Total Doctorates'!AS44)*100</f>
        <v>44.972208185952503</v>
      </c>
      <c r="AS43" s="108">
        <f>(Gender!CQ44/'Total Doctorates'!AT44)*100</f>
        <v>45.15</v>
      </c>
      <c r="AT43" s="108">
        <f>(Gender!CR44/'Total Doctorates'!AU44)*100</f>
        <v>44.789762340036567</v>
      </c>
      <c r="AU43" s="108">
        <f>(Gender!CS44/'Total Doctorates'!AV44)*100</f>
        <v>45.682451253481894</v>
      </c>
      <c r="AV43" s="108">
        <f>(Gender!CT44/'Total Doctorates'!AW44)*100</f>
        <v>45.71975131516021</v>
      </c>
      <c r="AW43" s="108">
        <f>(Gender!CU44/'Total Doctorates'!AX44)*100</f>
        <v>43.823391263503993</v>
      </c>
      <c r="AX43" s="108">
        <f>(Gender!CV44/'Total Doctorates'!AY44)*100</f>
        <v>44.331328088847755</v>
      </c>
      <c r="AY43" s="108">
        <f>(Gender!CW44/'Total Doctorates'!AZ44)*100</f>
        <v>45.794392523364486</v>
      </c>
    </row>
    <row r="44" spans="1:51">
      <c r="A44" s="37" t="s">
        <v>140</v>
      </c>
      <c r="B44" s="108">
        <f>(Gender!AZ45/'Total Doctorates'!C45)*100</f>
        <v>11.172161172161173</v>
      </c>
      <c r="C44" s="108">
        <f>(Gender!BA45/'Total Doctorates'!D45)*100</f>
        <v>14.029363784665581</v>
      </c>
      <c r="D44" s="108">
        <f>(Gender!BB45/'Total Doctorates'!E45)*100</f>
        <v>14.357262103505844</v>
      </c>
      <c r="E44" s="108">
        <f>(Gender!BC45/'Total Doctorates'!F45)*100</f>
        <v>15.798922800718133</v>
      </c>
      <c r="F44" s="108">
        <f>(Gender!BD45/'Total Doctorates'!G45)*100</f>
        <v>20.869565217391305</v>
      </c>
      <c r="G44" s="108">
        <f>(Gender!BE45/'Total Doctorates'!H45)*100</f>
        <v>20.555555555555554</v>
      </c>
      <c r="H44" s="108">
        <f>(Gender!BF45/'Total Doctorates'!I45)*100</f>
        <v>18.712273641851105</v>
      </c>
      <c r="I44" s="108">
        <f>(Gender!BG45/'Total Doctorates'!J45)*100</f>
        <v>25.240847784200387</v>
      </c>
      <c r="J44" s="108">
        <f>(Gender!BH45/'Total Doctorates'!K45)*100</f>
        <v>23.15369261477046</v>
      </c>
      <c r="K44" s="108">
        <f>(Gender!BI45/'Total Doctorates'!L45)*100</f>
        <v>30.37974683544304</v>
      </c>
      <c r="L44" s="108">
        <f>(Gender!BJ45/'Total Doctorates'!M45)*100</f>
        <v>30.61630218687873</v>
      </c>
      <c r="M44" s="108">
        <f>(Gender!BK45/'Total Doctorates'!N45)*100</f>
        <v>31.588785046728972</v>
      </c>
      <c r="N44" s="108">
        <f>(Gender!BL45/'Total Doctorates'!O45)*100</f>
        <v>29.018789144050107</v>
      </c>
      <c r="O44" s="108">
        <f>(Gender!BM45/'Total Doctorates'!P45)*100</f>
        <v>32.4435318275154</v>
      </c>
      <c r="P44" s="108">
        <f>(Gender!BN45/'Total Doctorates'!Q45)*100</f>
        <v>29.005059021922431</v>
      </c>
      <c r="Q44" s="108">
        <f>(Gender!BO45/'Total Doctorates'!R45)*100</f>
        <v>28.355387523629489</v>
      </c>
      <c r="R44" s="108">
        <f>(Gender!BP45/'Total Doctorates'!S45)*100</f>
        <v>29.982668977469672</v>
      </c>
      <c r="S44" s="108">
        <f>(Gender!BQ45/'Total Doctorates'!T45)*100</f>
        <v>40.264650283553877</v>
      </c>
      <c r="T44" s="108">
        <f>(Gender!BR45/'Total Doctorates'!U45)*100</f>
        <v>32.058287795992712</v>
      </c>
      <c r="U44" s="108">
        <f>(Gender!BS45/'Total Doctorates'!V45)*100</f>
        <v>32.04225352112676</v>
      </c>
      <c r="V44" s="108">
        <f>(Gender!BT45/'Total Doctorates'!W45)*100</f>
        <v>35.06666666666667</v>
      </c>
      <c r="W44" s="108">
        <f>(Gender!BU45/'Total Doctorates'!X45)*100</f>
        <v>36.816524908869987</v>
      </c>
      <c r="X44" s="108">
        <f>(Gender!BV45/'Total Doctorates'!Y45)*100</f>
        <v>34.649122807017548</v>
      </c>
      <c r="Y44" s="108">
        <f>(Gender!BW45/'Total Doctorates'!Z45)*100</f>
        <v>35.163204747774479</v>
      </c>
      <c r="Z44" s="108">
        <f>(Gender!BX45/'Total Doctorates'!AA45)*100</f>
        <v>41.87568157033806</v>
      </c>
      <c r="AA44" s="108">
        <f>(Gender!BY45/'Total Doctorates'!AB45)*100</f>
        <v>38.357705286839142</v>
      </c>
      <c r="AB44" s="108">
        <f>(Gender!BZ45/'Total Doctorates'!AC45)*100</f>
        <v>44.069431051108971</v>
      </c>
      <c r="AC44" s="108">
        <f>(Gender!CA45/'Total Doctorates'!AD45)*100</f>
        <v>44.206008583690988</v>
      </c>
      <c r="AD44" s="108">
        <f>(Gender!CB45/'Total Doctorates'!AE45)*100</f>
        <v>44.114528101802755</v>
      </c>
      <c r="AE44" s="108">
        <f>(Gender!CC45/'Total Doctorates'!AF45)*100</f>
        <v>45.791245791245792</v>
      </c>
      <c r="AF44" s="108">
        <f>(Gender!CD45/'Total Doctorates'!AG45)*100</f>
        <v>46.136101499423297</v>
      </c>
      <c r="AG44" s="108">
        <f>(Gender!CE45/'Total Doctorates'!AH45)*100</f>
        <v>49.025641025641029</v>
      </c>
      <c r="AH44" s="108">
        <f>(Gender!CF45/'Total Doctorates'!AI45)*100</f>
        <v>49.140893470790374</v>
      </c>
      <c r="AI44" s="108">
        <f>(Gender!CG45/'Total Doctorates'!AJ45)*100</f>
        <v>50.797024442082893</v>
      </c>
      <c r="AJ44" s="108">
        <f>(Gender!CH45/'Total Doctorates'!AK45)*100</f>
        <v>53.29457364341085</v>
      </c>
      <c r="AK44" s="108">
        <f>(Gender!CI45/'Total Doctorates'!AL45)*100</f>
        <v>50.766747376916868</v>
      </c>
      <c r="AL44" s="108">
        <f>(Gender!CJ45/'Total Doctorates'!AM45)*100</f>
        <v>52.859135285913524</v>
      </c>
      <c r="AM44" s="108">
        <f>(Gender!CK45/'Total Doctorates'!AN45)*100</f>
        <v>57.113821138211385</v>
      </c>
      <c r="AN44" s="108">
        <f>(Gender!CL45/'Total Doctorates'!AO45)*100</f>
        <v>58.861707438841734</v>
      </c>
      <c r="AO44" s="108">
        <f>(Gender!CM45/'Total Doctorates'!AP45)*100</f>
        <v>59.183673469387756</v>
      </c>
      <c r="AP44" s="108">
        <f>(Gender!CN45/'Total Doctorates'!AQ45)*100</f>
        <v>58.926919518963928</v>
      </c>
      <c r="AQ44" s="108">
        <f>(Gender!CO45/'Total Doctorates'!AR45)*100</f>
        <v>55.917159763313606</v>
      </c>
      <c r="AR44" s="108">
        <f>(Gender!CP45/'Total Doctorates'!AS45)*100</f>
        <v>50.289017341040463</v>
      </c>
      <c r="AS44" s="108">
        <f>(Gender!CQ45/'Total Doctorates'!AT45)*100</f>
        <v>46.186440677966104</v>
      </c>
      <c r="AT44" s="108">
        <f>(Gender!CR45/'Total Doctorates'!AU45)*100</f>
        <v>46.459227467811161</v>
      </c>
      <c r="AU44" s="108">
        <f>(Gender!CS45/'Total Doctorates'!AV45)*100</f>
        <v>49.683544303797468</v>
      </c>
      <c r="AV44" s="108">
        <f>(Gender!CT45/'Total Doctorates'!AW45)*100</f>
        <v>53.539381854436684</v>
      </c>
      <c r="AW44" s="108">
        <f>(Gender!CU45/'Total Doctorates'!AX45)*100</f>
        <v>51.336898395721931</v>
      </c>
      <c r="AX44" s="108">
        <f>(Gender!CV45/'Total Doctorates'!AY45)*100</f>
        <v>51.724137931034484</v>
      </c>
      <c r="AY44" s="108">
        <f>(Gender!CW45/'Total Doctorates'!AZ45)*100</f>
        <v>51.108870967741936</v>
      </c>
    </row>
    <row r="45" spans="1:51">
      <c r="A45" s="37" t="s">
        <v>141</v>
      </c>
      <c r="B45" s="108">
        <f>(Gender!AZ46/'Total Doctorates'!C46)*100</f>
        <v>13.65079365079365</v>
      </c>
      <c r="C45" s="108">
        <f>(Gender!BA46/'Total Doctorates'!D46)*100</f>
        <v>15.038759689922482</v>
      </c>
      <c r="D45" s="108">
        <f>(Gender!BB46/'Total Doctorates'!E46)*100</f>
        <v>15.712383488681759</v>
      </c>
      <c r="E45" s="108">
        <f>(Gender!BC46/'Total Doctorates'!F46)*100</f>
        <v>15.485564304461944</v>
      </c>
      <c r="F45" s="108">
        <f>(Gender!BD46/'Total Doctorates'!G46)*100</f>
        <v>15.722379603399434</v>
      </c>
      <c r="G45" s="108">
        <f>(Gender!BE46/'Total Doctorates'!H46)*100</f>
        <v>15.909090909090908</v>
      </c>
      <c r="H45" s="108">
        <f>(Gender!BF46/'Total Doctorates'!I46)*100</f>
        <v>19.679300291545189</v>
      </c>
      <c r="I45" s="108">
        <f>(Gender!BG46/'Total Doctorates'!J46)*100</f>
        <v>20.754716981132077</v>
      </c>
      <c r="J45" s="108">
        <f>(Gender!BH46/'Total Doctorates'!K46)*100</f>
        <v>21.753794266441819</v>
      </c>
      <c r="K45" s="108">
        <f>(Gender!BI46/'Total Doctorates'!L46)*100</f>
        <v>27.180232558139533</v>
      </c>
      <c r="L45" s="108">
        <f>(Gender!BJ46/'Total Doctorates'!M46)*100</f>
        <v>28.885400313971743</v>
      </c>
      <c r="M45" s="108">
        <f>(Gender!BK46/'Total Doctorates'!N46)*100</f>
        <v>28.20069204152249</v>
      </c>
      <c r="N45" s="108">
        <f>(Gender!BL46/'Total Doctorates'!O46)*100</f>
        <v>28.376068376068375</v>
      </c>
      <c r="O45" s="108">
        <f>(Gender!BM46/'Total Doctorates'!P46)*100</f>
        <v>32.098765432098766</v>
      </c>
      <c r="P45" s="108">
        <f>(Gender!BN46/'Total Doctorates'!Q46)*100</f>
        <v>29.11392405063291</v>
      </c>
      <c r="Q45" s="108">
        <f>(Gender!BO46/'Total Doctorates'!R46)*100</f>
        <v>30.918727915194346</v>
      </c>
      <c r="R45" s="108">
        <f>(Gender!BP46/'Total Doctorates'!S46)*100</f>
        <v>31.606217616580313</v>
      </c>
      <c r="S45" s="108">
        <f>(Gender!BQ46/'Total Doctorates'!T46)*100</f>
        <v>34.311926605504588</v>
      </c>
      <c r="T45" s="108">
        <f>(Gender!BR46/'Total Doctorates'!U46)*100</f>
        <v>34.264432029795159</v>
      </c>
      <c r="U45" s="108">
        <f>(Gender!BS46/'Total Doctorates'!V46)*100</f>
        <v>33.172302737520127</v>
      </c>
      <c r="V45" s="108">
        <f>(Gender!BT46/'Total Doctorates'!W46)*100</f>
        <v>33.925686591276246</v>
      </c>
      <c r="W45" s="108">
        <f>(Gender!BU46/'Total Doctorates'!X46)*100</f>
        <v>37.013996889580092</v>
      </c>
      <c r="X45" s="108">
        <f>(Gender!BV46/'Total Doctorates'!Y46)*100</f>
        <v>39.136125654450261</v>
      </c>
      <c r="Y45" s="108">
        <f>(Gender!BW46/'Total Doctorates'!Z46)*100</f>
        <v>35.583684950773559</v>
      </c>
      <c r="Z45" s="108">
        <f>(Gender!BX46/'Total Doctorates'!AA46)*100</f>
        <v>34.832904884318765</v>
      </c>
      <c r="AA45" s="108">
        <f>(Gender!BY46/'Total Doctorates'!AB46)*100</f>
        <v>38.247566063977743</v>
      </c>
      <c r="AB45" s="108">
        <f>(Gender!BZ46/'Total Doctorates'!AC46)*100</f>
        <v>35.668789808917197</v>
      </c>
      <c r="AC45" s="108">
        <f>(Gender!CA46/'Total Doctorates'!AD46)*100</f>
        <v>40.154440154440152</v>
      </c>
      <c r="AD45" s="108">
        <f>(Gender!CB46/'Total Doctorates'!AE46)*100</f>
        <v>39.534883720930232</v>
      </c>
      <c r="AE45" s="108">
        <f>(Gender!CC46/'Total Doctorates'!AF46)*100</f>
        <v>44.246575342465754</v>
      </c>
      <c r="AF45" s="108">
        <f>(Gender!CD46/'Total Doctorates'!AG46)*100</f>
        <v>39.317319848293295</v>
      </c>
      <c r="AG45" s="108">
        <f>(Gender!CE46/'Total Doctorates'!AH46)*100</f>
        <v>43.832599118942731</v>
      </c>
      <c r="AH45" s="108">
        <f>(Gender!CF46/'Total Doctorates'!AI46)*100</f>
        <v>45.645330535152148</v>
      </c>
      <c r="AI45" s="108">
        <f>(Gender!CG46/'Total Doctorates'!AJ46)*100</f>
        <v>50.676818950930624</v>
      </c>
      <c r="AJ45" s="108">
        <f>(Gender!CH46/'Total Doctorates'!AK46)*100</f>
        <v>51.824817518248182</v>
      </c>
      <c r="AK45" s="108">
        <f>(Gender!CI46/'Total Doctorates'!AL46)*100</f>
        <v>50.036683785766691</v>
      </c>
      <c r="AL45" s="108">
        <f>(Gender!CJ46/'Total Doctorates'!AM46)*100</f>
        <v>54.103967168262656</v>
      </c>
      <c r="AM45" s="108">
        <f>(Gender!CK46/'Total Doctorates'!AN46)*100</f>
        <v>57.533375715193898</v>
      </c>
      <c r="AN45" s="108">
        <f>(Gender!CL46/'Total Doctorates'!AO46)*100</f>
        <v>57.116221255438163</v>
      </c>
      <c r="AO45" s="108">
        <f>(Gender!CM46/'Total Doctorates'!AP46)*100</f>
        <v>59.090909090909093</v>
      </c>
      <c r="AP45" s="108">
        <f>(Gender!CN46/'Total Doctorates'!AQ46)*100</f>
        <v>55.337318531169942</v>
      </c>
      <c r="AQ45" s="108">
        <f>(Gender!CO46/'Total Doctorates'!AR46)*100</f>
        <v>52.118644067796616</v>
      </c>
      <c r="AR45" s="108">
        <f>(Gender!CP46/'Total Doctorates'!AS46)*100</f>
        <v>53.892668178382465</v>
      </c>
      <c r="AS45" s="108">
        <f>(Gender!CQ46/'Total Doctorates'!AT46)*100</f>
        <v>51.583011583011583</v>
      </c>
      <c r="AT45" s="108">
        <f>(Gender!CR46/'Total Doctorates'!AU46)*100</f>
        <v>54.594594594594589</v>
      </c>
      <c r="AU45" s="108">
        <f>(Gender!CS46/'Total Doctorates'!AV46)*100</f>
        <v>53.614079195474538</v>
      </c>
      <c r="AV45" s="108">
        <f>(Gender!CT46/'Total Doctorates'!AW46)*100</f>
        <v>55.211623499684151</v>
      </c>
      <c r="AW45" s="108">
        <f>(Gender!CU46/'Total Doctorates'!AX46)*100</f>
        <v>55.437219730941699</v>
      </c>
      <c r="AX45" s="108">
        <f>(Gender!CV46/'Total Doctorates'!AY46)*100</f>
        <v>54.903047091412738</v>
      </c>
      <c r="AY45" s="108">
        <f>(Gender!CW46/'Total Doctorates'!AZ46)*100</f>
        <v>57.199999999999996</v>
      </c>
    </row>
    <row r="46" spans="1:51">
      <c r="A46" s="37" t="s">
        <v>144</v>
      </c>
      <c r="B46" s="108">
        <f>(Gender!AZ47/'Total Doctorates'!C47)*100</f>
        <v>3.755868544600939</v>
      </c>
      <c r="C46" s="108">
        <f>(Gender!BA47/'Total Doctorates'!D47)*100</f>
        <v>12.107623318385651</v>
      </c>
      <c r="D46" s="108">
        <f>(Gender!BB47/'Total Doctorates'!E47)*100</f>
        <v>11.904761904761903</v>
      </c>
      <c r="E46" s="108">
        <f>(Gender!BC47/'Total Doctorates'!F47)*100</f>
        <v>15.217391304347828</v>
      </c>
      <c r="F46" s="108">
        <f>(Gender!BD47/'Total Doctorates'!G47)*100</f>
        <v>13.924050632911392</v>
      </c>
      <c r="G46" s="108">
        <f>(Gender!BE47/'Total Doctorates'!H47)*100</f>
        <v>13.973799126637553</v>
      </c>
      <c r="H46" s="108">
        <f>(Gender!BF47/'Total Doctorates'!I47)*100</f>
        <v>15.168539325842698</v>
      </c>
      <c r="I46" s="108">
        <f>(Gender!BG47/'Total Doctorates'!J47)*100</f>
        <v>22.477064220183486</v>
      </c>
      <c r="J46" s="108">
        <f>(Gender!BH47/'Total Doctorates'!K47)*100</f>
        <v>20.388349514563107</v>
      </c>
      <c r="K46" s="108">
        <f>(Gender!BI47/'Total Doctorates'!L47)*100</f>
        <v>26.5</v>
      </c>
      <c r="L46" s="108">
        <f>(Gender!BJ47/'Total Doctorates'!M47)*100</f>
        <v>23.52941176470588</v>
      </c>
      <c r="M46" s="108">
        <f>(Gender!BK47/'Total Doctorates'!N47)*100</f>
        <v>24.369747899159663</v>
      </c>
      <c r="N46" s="108">
        <f>(Gender!BL47/'Total Doctorates'!O47)*100</f>
        <v>30.373831775700932</v>
      </c>
      <c r="O46" s="108">
        <f>(Gender!BM47/'Total Doctorates'!P47)*100</f>
        <v>25.454545454545453</v>
      </c>
      <c r="P46" s="108">
        <f>(Gender!BN47/'Total Doctorates'!Q47)*100</f>
        <v>23.008849557522122</v>
      </c>
      <c r="Q46" s="108">
        <f>(Gender!BO47/'Total Doctorates'!R47)*100</f>
        <v>38.775510204081634</v>
      </c>
      <c r="R46" s="108">
        <f>(Gender!BP47/'Total Doctorates'!S47)*100</f>
        <v>36.666666666666664</v>
      </c>
      <c r="S46" s="108">
        <f>(Gender!BQ47/'Total Doctorates'!T47)*100</f>
        <v>37.209302325581397</v>
      </c>
      <c r="T46" s="108">
        <f>(Gender!BR47/'Total Doctorates'!U47)*100</f>
        <v>35.887096774193552</v>
      </c>
      <c r="U46" s="108">
        <f>(Gender!BS47/'Total Doctorates'!V47)*100</f>
        <v>35.080645161290327</v>
      </c>
      <c r="V46" s="108">
        <f>(Gender!BT47/'Total Doctorates'!W47)*100</f>
        <v>32.608695652173914</v>
      </c>
      <c r="W46" s="108">
        <f>(Gender!BU47/'Total Doctorates'!X47)*100</f>
        <v>44.74885844748858</v>
      </c>
      <c r="X46" s="108">
        <f>(Gender!BV47/'Total Doctorates'!Y47)*100</f>
        <v>36.440677966101696</v>
      </c>
      <c r="Y46" s="108">
        <f>(Gender!BW47/'Total Doctorates'!Z47)*100</f>
        <v>40.336134453781511</v>
      </c>
      <c r="Z46" s="108">
        <f>(Gender!BX47/'Total Doctorates'!AA47)*100</f>
        <v>37.704918032786885</v>
      </c>
      <c r="AA46" s="108">
        <f>(Gender!BY47/'Total Doctorates'!AB47)*100</f>
        <v>39.607843137254903</v>
      </c>
      <c r="AB46" s="108">
        <f>(Gender!BZ47/'Total Doctorates'!AC47)*100</f>
        <v>39.298245614035089</v>
      </c>
      <c r="AC46" s="108">
        <f>(Gender!CA47/'Total Doctorates'!AD47)*100</f>
        <v>46.070460704607044</v>
      </c>
      <c r="AD46" s="108">
        <f>(Gender!CB47/'Total Doctorates'!AE47)*100</f>
        <v>50.815850815850816</v>
      </c>
      <c r="AE46" s="108">
        <f>(Gender!CC47/'Total Doctorates'!AF47)*100</f>
        <v>44.632768361581924</v>
      </c>
      <c r="AF46" s="108">
        <f>(Gender!CD47/'Total Doctorates'!AG47)*100</f>
        <v>51.790633608815426</v>
      </c>
      <c r="AG46" s="108">
        <f>(Gender!CE47/'Total Doctorates'!AH47)*100</f>
        <v>46.176470588235297</v>
      </c>
      <c r="AH46" s="108">
        <f>(Gender!CF47/'Total Doctorates'!AI47)*100</f>
        <v>48.948948948948953</v>
      </c>
      <c r="AI46" s="108">
        <f>(Gender!CG47/'Total Doctorates'!AJ47)*100</f>
        <v>56.451612903225815</v>
      </c>
      <c r="AJ46" s="108">
        <f>(Gender!CH47/'Total Doctorates'!AK47)*100</f>
        <v>50</v>
      </c>
      <c r="AK46" s="108">
        <f>(Gender!CI47/'Total Doctorates'!AL47)*100</f>
        <v>56.707317073170728</v>
      </c>
      <c r="AL46" s="108">
        <f>(Gender!CJ47/'Total Doctorates'!AM47)*100</f>
        <v>56.038647342995176</v>
      </c>
      <c r="AM46" s="108">
        <f>(Gender!CK47/'Total Doctorates'!AN47)*100</f>
        <v>55.111111111111114</v>
      </c>
      <c r="AN46" s="108">
        <f>(Gender!CL47/'Total Doctorates'!AO47)*100</f>
        <v>51.549295774647888</v>
      </c>
      <c r="AO46" s="108">
        <f>(Gender!CM47/'Total Doctorates'!AP47)*100</f>
        <v>52.12765957446809</v>
      </c>
      <c r="AP46" s="108">
        <f>(Gender!CN47/'Total Doctorates'!AQ47)*100</f>
        <v>51.771117166212534</v>
      </c>
      <c r="AQ46" s="108">
        <f>(Gender!CO47/'Total Doctorates'!AR47)*100</f>
        <v>50.810810810810814</v>
      </c>
      <c r="AR46" s="108">
        <f>(Gender!CP47/'Total Doctorates'!AS47)*100</f>
        <v>49.704142011834321</v>
      </c>
      <c r="AS46" s="108">
        <f>(Gender!CQ47/'Total Doctorates'!AT47)*100</f>
        <v>48.860759493670884</v>
      </c>
      <c r="AT46" s="108">
        <f>(Gender!CR47/'Total Doctorates'!AU47)*100</f>
        <v>54.299754299754298</v>
      </c>
      <c r="AU46" s="108">
        <f>(Gender!CS47/'Total Doctorates'!AV47)*100</f>
        <v>47.587719298245609</v>
      </c>
      <c r="AV46" s="108">
        <f>(Gender!CT47/'Total Doctorates'!AW47)*100</f>
        <v>51.793721973094179</v>
      </c>
      <c r="AW46" s="108">
        <f>(Gender!CU47/'Total Doctorates'!AX47)*100</f>
        <v>51.541850220264315</v>
      </c>
      <c r="AX46" s="108">
        <f>(Gender!CV47/'Total Doctorates'!AY47)*100</f>
        <v>53.196347031963477</v>
      </c>
      <c r="AY46" s="108">
        <f>(Gender!CW47/'Total Doctorates'!AZ47)*100</f>
        <v>48.434237995824638</v>
      </c>
    </row>
    <row r="47" spans="1:51">
      <c r="A47" s="37" t="s">
        <v>143</v>
      </c>
      <c r="B47" s="108">
        <f>(Gender!AZ48/'Total Doctorates'!C48)*100</f>
        <v>4.6511627906976747</v>
      </c>
      <c r="C47" s="108">
        <f>(Gender!BA48/'Total Doctorates'!D48)*100</f>
        <v>9.3220338983050848</v>
      </c>
      <c r="D47" s="108">
        <f>(Gender!BB48/'Total Doctorates'!E48)*100</f>
        <v>12.048192771084338</v>
      </c>
      <c r="E47" s="108">
        <f>(Gender!BC48/'Total Doctorates'!F48)*100</f>
        <v>11.111111111111111</v>
      </c>
      <c r="F47" s="108">
        <f>(Gender!BD48/'Total Doctorates'!G48)*100</f>
        <v>9.7560975609756095</v>
      </c>
      <c r="G47" s="108">
        <f>(Gender!BE48/'Total Doctorates'!H48)*100</f>
        <v>10.44776119402985</v>
      </c>
      <c r="H47" s="108">
        <f>(Gender!BF48/'Total Doctorates'!I48)*100</f>
        <v>15.151515151515152</v>
      </c>
      <c r="I47" s="108">
        <f>(Gender!BG48/'Total Doctorates'!J48)*100</f>
        <v>10.606060606060606</v>
      </c>
      <c r="J47" s="108">
        <f>(Gender!BH48/'Total Doctorates'!K48)*100</f>
        <v>17.021276595744681</v>
      </c>
      <c r="K47" s="108">
        <f>(Gender!BI48/'Total Doctorates'!L48)*100</f>
        <v>11.594202898550725</v>
      </c>
      <c r="L47" s="108">
        <f>(Gender!BJ48/'Total Doctorates'!M48)*100</f>
        <v>25.301204819277107</v>
      </c>
      <c r="M47" s="108">
        <f>(Gender!BK48/'Total Doctorates'!N48)*100</f>
        <v>20.289855072463769</v>
      </c>
      <c r="N47" s="108">
        <f>(Gender!BL48/'Total Doctorates'!O48)*100</f>
        <v>21.276595744680851</v>
      </c>
      <c r="O47" s="108">
        <f>(Gender!BM48/'Total Doctorates'!P48)*100</f>
        <v>24.489795918367346</v>
      </c>
      <c r="P47" s="108">
        <f>(Gender!BN48/'Total Doctorates'!Q48)*100</f>
        <v>31.914893617021278</v>
      </c>
      <c r="Q47" s="108">
        <f>(Gender!BO48/'Total Doctorates'!R48)*100</f>
        <v>45.3125</v>
      </c>
      <c r="R47" s="108">
        <f>(Gender!BP48/'Total Doctorates'!S48)*100</f>
        <v>17.910447761194028</v>
      </c>
      <c r="S47" s="108">
        <f>(Gender!BQ48/'Total Doctorates'!T48)*100</f>
        <v>27.631578947368425</v>
      </c>
      <c r="T47" s="108">
        <f>(Gender!BR48/'Total Doctorates'!U48)*100</f>
        <v>30.303030303030305</v>
      </c>
      <c r="U47" s="108">
        <f>(Gender!BS48/'Total Doctorates'!V48)*100</f>
        <v>27.868852459016392</v>
      </c>
      <c r="V47" s="108">
        <f>(Gender!BT48/'Total Doctorates'!W48)*100</f>
        <v>32.394366197183103</v>
      </c>
      <c r="W47" s="108">
        <f>(Gender!BU48/'Total Doctorates'!X48)*100</f>
        <v>34.920634920634917</v>
      </c>
      <c r="X47" s="108">
        <f>(Gender!BV48/'Total Doctorates'!Y48)*100</f>
        <v>41.77215189873418</v>
      </c>
      <c r="Y47" s="108">
        <f>(Gender!BW48/'Total Doctorates'!Z48)*100</f>
        <v>33.783783783783782</v>
      </c>
      <c r="Z47" s="108">
        <f>(Gender!BX48/'Total Doctorates'!AA48)*100</f>
        <v>50</v>
      </c>
      <c r="AA47" s="108">
        <f>(Gender!BY48/'Total Doctorates'!AB48)*100</f>
        <v>47.619047619047613</v>
      </c>
      <c r="AB47" s="108">
        <f>(Gender!BZ48/'Total Doctorates'!AC48)*100</f>
        <v>41.77215189873418</v>
      </c>
      <c r="AC47" s="108">
        <f>(Gender!CA48/'Total Doctorates'!AD48)*100</f>
        <v>40.229885057471265</v>
      </c>
      <c r="AD47" s="108">
        <f>(Gender!CB48/'Total Doctorates'!AE48)*100</f>
        <v>40.845070422535215</v>
      </c>
      <c r="AE47" s="108">
        <f>(Gender!CC48/'Total Doctorates'!AF48)*100</f>
        <v>45.588235294117645</v>
      </c>
      <c r="AF47" s="108">
        <f>(Gender!CD48/'Total Doctorates'!AG48)*100</f>
        <v>39.655172413793103</v>
      </c>
      <c r="AG47" s="108">
        <f>(Gender!CE48/'Total Doctorates'!AH48)*100</f>
        <v>53.731343283582092</v>
      </c>
      <c r="AH47" s="108">
        <f>(Gender!CF48/'Total Doctorates'!AI48)*100</f>
        <v>40.74074074074074</v>
      </c>
      <c r="AI47" s="108">
        <f>(Gender!CG48/'Total Doctorates'!AJ48)*100</f>
        <v>51.111111111111107</v>
      </c>
      <c r="AJ47" s="108">
        <f>(Gender!CH48/'Total Doctorates'!AK48)*100</f>
        <v>47.777777777777779</v>
      </c>
      <c r="AK47" s="108">
        <f>(Gender!CI48/'Total Doctorates'!AL48)*100</f>
        <v>61.904761904761905</v>
      </c>
      <c r="AL47" s="108">
        <f>(Gender!CJ48/'Total Doctorates'!AM48)*100</f>
        <v>54.304635761589402</v>
      </c>
      <c r="AM47" s="108">
        <f>(Gender!CK48/'Total Doctorates'!AN48)*100</f>
        <v>59.890109890109891</v>
      </c>
      <c r="AN47" s="108">
        <f>(Gender!CL48/'Total Doctorates'!AO48)*100</f>
        <v>54.098360655737707</v>
      </c>
      <c r="AO47" s="108">
        <f>(Gender!CM48/'Total Doctorates'!AP48)*100</f>
        <v>52.571428571428569</v>
      </c>
      <c r="AP47" s="108">
        <f>(Gender!CN48/'Total Doctorates'!AQ48)*100</f>
        <v>58.82352941176471</v>
      </c>
      <c r="AQ47" s="108">
        <f>(Gender!CO48/'Total Doctorates'!AR48)*100</f>
        <v>61.151079136690647</v>
      </c>
      <c r="AR47" s="108">
        <f>(Gender!CP48/'Total Doctorates'!AS48)*100</f>
        <v>50.331125827814574</v>
      </c>
      <c r="AS47" s="108">
        <f>(Gender!CQ48/'Total Doctorates'!AT48)*100</f>
        <v>44.444444444444443</v>
      </c>
      <c r="AT47" s="108">
        <f>(Gender!CR48/'Total Doctorates'!AU48)*100</f>
        <v>42.331288343558285</v>
      </c>
      <c r="AU47" s="108">
        <f>(Gender!CS48/'Total Doctorates'!AV48)*100</f>
        <v>48.186528497409327</v>
      </c>
      <c r="AV47" s="108">
        <f>(Gender!CT48/'Total Doctorates'!AW48)*100</f>
        <v>49.738219895287962</v>
      </c>
      <c r="AW47" s="108">
        <f>(Gender!CU48/'Total Doctorates'!AX48)*100</f>
        <v>53.513513513513509</v>
      </c>
      <c r="AX47" s="108">
        <f>(Gender!CV48/'Total Doctorates'!AY48)*100</f>
        <v>50.537634408602152</v>
      </c>
      <c r="AY47" s="108">
        <f>(Gender!CW48/'Total Doctorates'!AZ48)*100</f>
        <v>47.126436781609193</v>
      </c>
    </row>
    <row r="48" spans="1:51">
      <c r="A48" s="37" t="s">
        <v>150</v>
      </c>
      <c r="B48" s="108">
        <f>(Gender!AZ49/'Total Doctorates'!C49)*100</f>
        <v>14.738510301109351</v>
      </c>
      <c r="C48" s="108">
        <f>(Gender!BA49/'Total Doctorates'!D49)*100</f>
        <v>14.094432699083862</v>
      </c>
      <c r="D48" s="108">
        <f>(Gender!BB49/'Total Doctorates'!E49)*100</f>
        <v>16.203389830508474</v>
      </c>
      <c r="E48" s="108">
        <f>(Gender!BC49/'Total Doctorates'!F49)*100</f>
        <v>19.35483870967742</v>
      </c>
      <c r="F48" s="108">
        <f>(Gender!BD49/'Total Doctorates'!G49)*100</f>
        <v>19.328859060402685</v>
      </c>
      <c r="G48" s="108">
        <f>(Gender!BE49/'Total Doctorates'!H49)*100</f>
        <v>24.40894568690096</v>
      </c>
      <c r="H48" s="108">
        <f>(Gender!BF49/'Total Doctorates'!I49)*100</f>
        <v>24.204204204204206</v>
      </c>
      <c r="I48" s="108">
        <f>(Gender!BG49/'Total Doctorates'!J49)*100</f>
        <v>26.783398184176395</v>
      </c>
      <c r="J48" s="108">
        <f>(Gender!BH49/'Total Doctorates'!K49)*100</f>
        <v>29.875</v>
      </c>
      <c r="K48" s="108">
        <f>(Gender!BI49/'Total Doctorates'!L49)*100</f>
        <v>32.98902517753389</v>
      </c>
      <c r="L48" s="108">
        <f>(Gender!BJ49/'Total Doctorates'!M49)*100</f>
        <v>32.010759919300611</v>
      </c>
      <c r="M48" s="108">
        <f>(Gender!BK49/'Total Doctorates'!N49)*100</f>
        <v>37.340496977837475</v>
      </c>
      <c r="N48" s="108">
        <f>(Gender!BL49/'Total Doctorates'!O49)*100</f>
        <v>34.42622950819672</v>
      </c>
      <c r="O48" s="108">
        <f>(Gender!BM49/'Total Doctorates'!P49)*100</f>
        <v>35.321715817694368</v>
      </c>
      <c r="P48" s="108">
        <f>(Gender!BN49/'Total Doctorates'!Q49)*100</f>
        <v>35.078178110129166</v>
      </c>
      <c r="Q48" s="108">
        <f>(Gender!BO49/'Total Doctorates'!R49)*100</f>
        <v>37.907137907137908</v>
      </c>
      <c r="R48" s="108">
        <f>(Gender!BP49/'Total Doctorates'!S49)*100</f>
        <v>37.888198757763973</v>
      </c>
      <c r="S48" s="108">
        <f>(Gender!BQ49/'Total Doctorates'!T49)*100</f>
        <v>37.92675356921167</v>
      </c>
      <c r="T48" s="108">
        <f>(Gender!BR49/'Total Doctorates'!U49)*100</f>
        <v>38.930774503084301</v>
      </c>
      <c r="U48" s="108">
        <f>(Gender!BS49/'Total Doctorates'!V49)*100</f>
        <v>38.377723970944309</v>
      </c>
      <c r="V48" s="108">
        <f>(Gender!BT49/'Total Doctorates'!W49)*100</f>
        <v>38.209479227618495</v>
      </c>
      <c r="W48" s="108">
        <f>(Gender!BU49/'Total Doctorates'!X49)*100</f>
        <v>38.834951456310677</v>
      </c>
      <c r="X48" s="108">
        <f>(Gender!BV49/'Total Doctorates'!Y49)*100</f>
        <v>39.637599093997736</v>
      </c>
      <c r="Y48" s="108">
        <f>(Gender!BW49/'Total Doctorates'!Z49)*100</f>
        <v>40.446021287379622</v>
      </c>
      <c r="Z48" s="108">
        <f>(Gender!BX49/'Total Doctorates'!AA49)*100</f>
        <v>41.419840150446639</v>
      </c>
      <c r="AA48" s="108">
        <f>(Gender!BY49/'Total Doctorates'!AB49)*100</f>
        <v>41.716111364673665</v>
      </c>
      <c r="AB48" s="108">
        <f>(Gender!BZ49/'Total Doctorates'!AC49)*100</f>
        <v>42.895927601809952</v>
      </c>
      <c r="AC48" s="108">
        <f>(Gender!CA49/'Total Doctorates'!AD49)*100</f>
        <v>43.04347826086957</v>
      </c>
      <c r="AD48" s="108">
        <f>(Gender!CB49/'Total Doctorates'!AE49)*100</f>
        <v>43.364822312190732</v>
      </c>
      <c r="AE48" s="108">
        <f>(Gender!CC49/'Total Doctorates'!AF49)*100</f>
        <v>45.481777333998998</v>
      </c>
      <c r="AF48" s="108">
        <f>(Gender!CD49/'Total Doctorates'!AG49)*100</f>
        <v>46.045197740112989</v>
      </c>
      <c r="AG48" s="108">
        <f>(Gender!CE49/'Total Doctorates'!AH49)*100</f>
        <v>44.482929242949041</v>
      </c>
      <c r="AH48" s="108">
        <f>(Gender!CF49/'Total Doctorates'!AI49)*100</f>
        <v>46.850598646538259</v>
      </c>
      <c r="AI48" s="108">
        <f>(Gender!CG49/'Total Doctorates'!AJ49)*100</f>
        <v>47.793326157158234</v>
      </c>
      <c r="AJ48" s="108">
        <f>(Gender!CH49/'Total Doctorates'!AK49)*100</f>
        <v>46.324324324324323</v>
      </c>
      <c r="AK48" s="108">
        <f>(Gender!CI49/'Total Doctorates'!AL49)*100</f>
        <v>49.157581764122895</v>
      </c>
      <c r="AL48" s="108">
        <f>(Gender!CJ49/'Total Doctorates'!AM49)*100</f>
        <v>47.224880382775119</v>
      </c>
      <c r="AM48" s="108">
        <f>(Gender!CK49/'Total Doctorates'!AN49)*100</f>
        <v>50.11389521640092</v>
      </c>
      <c r="AN48" s="108">
        <f>(Gender!CL49/'Total Doctorates'!AO49)*100</f>
        <v>49.436325678496864</v>
      </c>
      <c r="AO48" s="108">
        <f>(Gender!CM49/'Total Doctorates'!AP49)*100</f>
        <v>52.033598585322729</v>
      </c>
      <c r="AP48" s="108">
        <f>(Gender!CN49/'Total Doctorates'!AQ49)*100</f>
        <v>47.725284339457566</v>
      </c>
      <c r="AQ48" s="108">
        <f>(Gender!CO49/'Total Doctorates'!AR49)*100</f>
        <v>48.798798798798799</v>
      </c>
      <c r="AR48" s="108">
        <f>(Gender!CP49/'Total Doctorates'!AS49)*100</f>
        <v>49.351323300467051</v>
      </c>
      <c r="AS48" s="108">
        <f>(Gender!CQ49/'Total Doctorates'!AT49)*100</f>
        <v>50.174912543728134</v>
      </c>
      <c r="AT48" s="108">
        <f>(Gender!CR49/'Total Doctorates'!AU49)*100</f>
        <v>47.263922518159809</v>
      </c>
      <c r="AU48" s="108">
        <f>(Gender!CS49/'Total Doctorates'!AV49)*100</f>
        <v>48.966165413533837</v>
      </c>
      <c r="AV48" s="108">
        <f>(Gender!CT49/'Total Doctorates'!AW49)*100</f>
        <v>46.899049343594385</v>
      </c>
      <c r="AW48" s="108">
        <f>(Gender!CU49/'Total Doctorates'!AX49)*100</f>
        <v>45.722171113155476</v>
      </c>
      <c r="AX48" s="108">
        <f>(Gender!CV49/'Total Doctorates'!AY49)*100</f>
        <v>48.771610555050046</v>
      </c>
      <c r="AY48" s="108">
        <f>(Gender!CW49/'Total Doctorates'!AZ49)*100</f>
        <v>49.441215914170769</v>
      </c>
    </row>
    <row r="49" spans="1:51">
      <c r="A49" s="37" t="s">
        <v>154</v>
      </c>
      <c r="B49" s="108">
        <f>(Gender!AZ50/'Total Doctorates'!C50)*100</f>
        <v>4.7619047619047619</v>
      </c>
      <c r="C49" s="108">
        <f>(Gender!BA50/'Total Doctorates'!D50)*100</f>
        <v>1.9230769230769231</v>
      </c>
      <c r="D49" s="108">
        <f>(Gender!BB50/'Total Doctorates'!E50)*100</f>
        <v>7.8431372549019605</v>
      </c>
      <c r="E49" s="108">
        <f>(Gender!BC50/'Total Doctorates'!F50)*100</f>
        <v>14.000000000000002</v>
      </c>
      <c r="F49" s="108">
        <f>(Gender!BD50/'Total Doctorates'!G50)*100</f>
        <v>3.9215686274509802</v>
      </c>
      <c r="G49" s="108">
        <f>(Gender!BE50/'Total Doctorates'!H50)*100</f>
        <v>15.217391304347828</v>
      </c>
      <c r="H49" s="108">
        <f>(Gender!BF50/'Total Doctorates'!I50)*100</f>
        <v>28.888888888888886</v>
      </c>
      <c r="I49" s="108">
        <f>(Gender!BG50/'Total Doctorates'!J50)*100</f>
        <v>37.5</v>
      </c>
      <c r="J49" s="108">
        <f>(Gender!BH50/'Total Doctorates'!K50)*100</f>
        <v>18</v>
      </c>
      <c r="K49" s="108">
        <f>(Gender!BI50/'Total Doctorates'!L50)*100</f>
        <v>22.222222222222221</v>
      </c>
      <c r="L49" s="108">
        <f>(Gender!BJ50/'Total Doctorates'!M50)*100</f>
        <v>8.1081081081081088</v>
      </c>
      <c r="M49" s="108">
        <f>(Gender!BK50/'Total Doctorates'!N50)*100</f>
        <v>24.242424242424242</v>
      </c>
      <c r="N49" s="108">
        <f>(Gender!BL50/'Total Doctorates'!O50)*100</f>
        <v>21.951219512195124</v>
      </c>
      <c r="O49" s="108">
        <f>(Gender!BM50/'Total Doctorates'!P50)*100</f>
        <v>35.416666666666671</v>
      </c>
      <c r="P49" s="108">
        <f>(Gender!BN50/'Total Doctorates'!Q50)*100</f>
        <v>25.531914893617021</v>
      </c>
      <c r="Q49" s="108">
        <f>(Gender!BO50/'Total Doctorates'!R50)*100</f>
        <v>28.30188679245283</v>
      </c>
      <c r="R49" s="108">
        <f>(Gender!BP50/'Total Doctorates'!S50)*100</f>
        <v>35</v>
      </c>
      <c r="S49" s="108">
        <f>(Gender!BQ50/'Total Doctorates'!T50)*100</f>
        <v>38.461538461538467</v>
      </c>
      <c r="T49" s="108">
        <f>(Gender!BR50/'Total Doctorates'!U50)*100</f>
        <v>19.607843137254903</v>
      </c>
      <c r="U49" s="108">
        <f>(Gender!BS50/'Total Doctorates'!V50)*100</f>
        <v>29.166666666666668</v>
      </c>
      <c r="V49" s="108">
        <f>(Gender!BT50/'Total Doctorates'!W50)*100</f>
        <v>31.818181818181817</v>
      </c>
      <c r="W49" s="108">
        <f>(Gender!BU50/'Total Doctorates'!X50)*100</f>
        <v>34.693877551020407</v>
      </c>
      <c r="X49" s="108">
        <f>(Gender!BV50/'Total Doctorates'!Y50)*100</f>
        <v>35</v>
      </c>
      <c r="Y49" s="108">
        <f>(Gender!BW50/'Total Doctorates'!Z50)*100</f>
        <v>42.307692307692307</v>
      </c>
      <c r="Z49" s="108">
        <f>(Gender!BX50/'Total Doctorates'!AA50)*100</f>
        <v>36.666666666666664</v>
      </c>
      <c r="AA49" s="108">
        <f>(Gender!BY50/'Total Doctorates'!AB50)*100</f>
        <v>50.793650793650791</v>
      </c>
      <c r="AB49" s="108">
        <f>(Gender!BZ50/'Total Doctorates'!AC50)*100</f>
        <v>43.478260869565219</v>
      </c>
      <c r="AC49" s="108">
        <f>(Gender!CA50/'Total Doctorates'!AD50)*100</f>
        <v>45.263157894736842</v>
      </c>
      <c r="AD49" s="108">
        <f>(Gender!CB50/'Total Doctorates'!AE50)*100</f>
        <v>53.521126760563376</v>
      </c>
      <c r="AE49" s="108">
        <f>(Gender!CC50/'Total Doctorates'!AF50)*100</f>
        <v>30.76923076923077</v>
      </c>
      <c r="AF49" s="108">
        <f>(Gender!CD50/'Total Doctorates'!AG50)*100</f>
        <v>43.589743589743591</v>
      </c>
      <c r="AG49" s="108">
        <f>(Gender!CE50/'Total Doctorates'!AH50)*100</f>
        <v>52.525252525252533</v>
      </c>
      <c r="AH49" s="108">
        <f>(Gender!CF50/'Total Doctorates'!AI50)*100</f>
        <v>41.095890410958901</v>
      </c>
      <c r="AI49" s="108">
        <f>(Gender!CG50/'Total Doctorates'!AJ50)*100</f>
        <v>50.666666666666671</v>
      </c>
      <c r="AJ49" s="108">
        <f>(Gender!CH50/'Total Doctorates'!AK50)*100</f>
        <v>52.747252747252752</v>
      </c>
      <c r="AK49" s="108">
        <f>(Gender!CI50/'Total Doctorates'!AL50)*100</f>
        <v>51.68539325842697</v>
      </c>
      <c r="AL49" s="108">
        <f>(Gender!CJ50/'Total Doctorates'!AM50)*100</f>
        <v>46.05263157894737</v>
      </c>
      <c r="AM49" s="108">
        <f>(Gender!CK50/'Total Doctorates'!AN50)*100</f>
        <v>51.648351648351657</v>
      </c>
      <c r="AN49" s="108">
        <f>(Gender!CL50/'Total Doctorates'!AO50)*100</f>
        <v>55.963302752293572</v>
      </c>
      <c r="AO49" s="108">
        <f>(Gender!CM50/'Total Doctorates'!AP50)*100</f>
        <v>54.807692307692314</v>
      </c>
      <c r="AP49" s="108">
        <f>(Gender!CN50/'Total Doctorates'!AQ50)*100</f>
        <v>44.444444444444443</v>
      </c>
      <c r="AQ49" s="108">
        <f>(Gender!CO50/'Total Doctorates'!AR50)*100</f>
        <v>48.35164835164835</v>
      </c>
      <c r="AR49" s="108">
        <f>(Gender!CP50/'Total Doctorates'!AS50)*100</f>
        <v>47.787610619469028</v>
      </c>
      <c r="AS49" s="108">
        <f>(Gender!CQ50/'Total Doctorates'!AT50)*100</f>
        <v>53.571428571428569</v>
      </c>
      <c r="AT49" s="108">
        <f>(Gender!CR50/'Total Doctorates'!AU50)*100</f>
        <v>49.629629629629626</v>
      </c>
      <c r="AU49" s="108">
        <f>(Gender!CS50/'Total Doctorates'!AV50)*100</f>
        <v>46.258503401360542</v>
      </c>
      <c r="AV49" s="108">
        <f>(Gender!CT50/'Total Doctorates'!AW50)*100</f>
        <v>54.802259887005647</v>
      </c>
      <c r="AW49" s="108">
        <f>(Gender!CU50/'Total Doctorates'!AX50)*100</f>
        <v>34.126984126984127</v>
      </c>
      <c r="AX49" s="108">
        <f>(Gender!CV50/'Total Doctorates'!AY50)*100</f>
        <v>48.993288590604031</v>
      </c>
      <c r="AY49" s="108">
        <f>(Gender!CW50/'Total Doctorates'!AZ50)*100</f>
        <v>41.717791411042946</v>
      </c>
    </row>
    <row r="50" spans="1:51">
      <c r="A50" s="42" t="s">
        <v>157</v>
      </c>
      <c r="B50" s="109">
        <f>(Gender!AZ51/'Total Doctorates'!C51)*100</f>
        <v>13.276231263383298</v>
      </c>
      <c r="C50" s="109">
        <f>(Gender!BA51/'Total Doctorates'!D51)*100</f>
        <v>12.916666666666668</v>
      </c>
      <c r="D50" s="109">
        <f>(Gender!BB51/'Total Doctorates'!E51)*100</f>
        <v>14.750290360046458</v>
      </c>
      <c r="E50" s="109">
        <f>(Gender!BC51/'Total Doctorates'!F51)*100</f>
        <v>16.740576496674059</v>
      </c>
      <c r="F50" s="109">
        <f>(Gender!BD51/'Total Doctorates'!G51)*100</f>
        <v>15.697036223929747</v>
      </c>
      <c r="G50" s="109">
        <f>(Gender!BE51/'Total Doctorates'!H51)*100</f>
        <v>21.810250817884405</v>
      </c>
      <c r="H50" s="109">
        <f>(Gender!BF51/'Total Doctorates'!I51)*100</f>
        <v>20.578420467185762</v>
      </c>
      <c r="I50" s="109">
        <f>(Gender!BG51/'Total Doctorates'!J51)*100</f>
        <v>22.745098039215687</v>
      </c>
      <c r="J50" s="109">
        <f>(Gender!BH51/'Total Doctorates'!K51)*100</f>
        <v>23.381770145310433</v>
      </c>
      <c r="K50" s="109">
        <f>(Gender!BI51/'Total Doctorates'!L51)*100</f>
        <v>25.774473358116477</v>
      </c>
      <c r="L50" s="109">
        <f>(Gender!BJ51/'Total Doctorates'!M51)*100</f>
        <v>26.052631578947366</v>
      </c>
      <c r="M50" s="109">
        <f>(Gender!BK51/'Total Doctorates'!N51)*100</f>
        <v>29.045643153526974</v>
      </c>
      <c r="N50" s="109">
        <f>(Gender!BL51/'Total Doctorates'!O51)*100</f>
        <v>27.599486521180999</v>
      </c>
      <c r="O50" s="109">
        <f>(Gender!BM51/'Total Doctorates'!P51)*100</f>
        <v>27.873563218390807</v>
      </c>
      <c r="P50" s="109">
        <f>(Gender!BN51/'Total Doctorates'!Q51)*100</f>
        <v>30.997304582210244</v>
      </c>
      <c r="Q50" s="109">
        <f>(Gender!BO51/'Total Doctorates'!R51)*100</f>
        <v>30.363864491844417</v>
      </c>
      <c r="R50" s="109">
        <f>(Gender!BP51/'Total Doctorates'!S51)*100</f>
        <v>29.986613119143239</v>
      </c>
      <c r="S50" s="109">
        <f>(Gender!BQ51/'Total Doctorates'!T51)*100</f>
        <v>27.411167512690355</v>
      </c>
      <c r="T50" s="109">
        <f>(Gender!BR51/'Total Doctorates'!U51)*100</f>
        <v>30.665024630541872</v>
      </c>
      <c r="U50" s="109">
        <f>(Gender!BS51/'Total Doctorates'!V51)*100</f>
        <v>27.367055771725035</v>
      </c>
      <c r="V50" s="109">
        <f>(Gender!BT51/'Total Doctorates'!W51)*100</f>
        <v>34.80278422273782</v>
      </c>
      <c r="W50" s="109">
        <f>(Gender!BU51/'Total Doctorates'!X51)*100</f>
        <v>31.422018348623855</v>
      </c>
      <c r="X50" s="109">
        <f>(Gender!BV51/'Total Doctorates'!Y51)*100</f>
        <v>35.542168674698793</v>
      </c>
      <c r="Y50" s="109">
        <f>(Gender!BW51/'Total Doctorates'!Z51)*100</f>
        <v>34.665099882491184</v>
      </c>
      <c r="Z50" s="109">
        <f>(Gender!BX51/'Total Doctorates'!AA51)*100</f>
        <v>32.531380753138073</v>
      </c>
      <c r="AA50" s="109">
        <f>(Gender!BY51/'Total Doctorates'!AB51)*100</f>
        <v>35.611907386990076</v>
      </c>
      <c r="AB50" s="109">
        <f>(Gender!BZ51/'Total Doctorates'!AC51)*100</f>
        <v>40.676117775354413</v>
      </c>
      <c r="AC50" s="109">
        <f>(Gender!CA51/'Total Doctorates'!AD51)*100</f>
        <v>38.945233265720077</v>
      </c>
      <c r="AD50" s="109">
        <f>(Gender!CB51/'Total Doctorates'!AE51)*100</f>
        <v>40.822784810126585</v>
      </c>
      <c r="AE50" s="109">
        <f>(Gender!CC51/'Total Doctorates'!AF51)*100</f>
        <v>44.107744107744104</v>
      </c>
      <c r="AF50" s="109">
        <f>(Gender!CD51/'Total Doctorates'!AG51)*100</f>
        <v>39.932126696832583</v>
      </c>
      <c r="AG50" s="109">
        <f>(Gender!CE51/'Total Doctorates'!AH51)*100</f>
        <v>40.02347417840376</v>
      </c>
      <c r="AH50" s="109">
        <f>(Gender!CF51/'Total Doctorates'!AI51)*100</f>
        <v>43.873978996499417</v>
      </c>
      <c r="AI50" s="109">
        <f>(Gender!CG51/'Total Doctorates'!AJ51)*100</f>
        <v>41.162227602905574</v>
      </c>
      <c r="AJ50" s="109">
        <f>(Gender!CH51/'Total Doctorates'!AK51)*100</f>
        <v>41.147132169576061</v>
      </c>
      <c r="AK50" s="109">
        <f>(Gender!CI51/'Total Doctorates'!AL51)*100</f>
        <v>47.568710359408037</v>
      </c>
      <c r="AL50" s="109">
        <f>(Gender!CJ51/'Total Doctorates'!AM51)*100</f>
        <v>46.826222684703431</v>
      </c>
      <c r="AM50" s="109">
        <f>(Gender!CK51/'Total Doctorates'!AN51)*100</f>
        <v>47.169811320754718</v>
      </c>
      <c r="AN50" s="109">
        <f>(Gender!CL51/'Total Doctorates'!AO51)*100</f>
        <v>46.699507389162562</v>
      </c>
      <c r="AO50" s="109">
        <f>(Gender!CM51/'Total Doctorates'!AP51)*100</f>
        <v>43.833017077798864</v>
      </c>
      <c r="AP50" s="109">
        <f>(Gender!CN51/'Total Doctorates'!AQ51)*100</f>
        <v>46.945010183299388</v>
      </c>
      <c r="AQ50" s="109">
        <f>(Gender!CO51/'Total Doctorates'!AR51)*100</f>
        <v>47.342995169082123</v>
      </c>
      <c r="AR50" s="109">
        <f>(Gender!CP51/'Total Doctorates'!AS51)*100</f>
        <v>49.122807017543856</v>
      </c>
      <c r="AS50" s="109">
        <f>(Gender!CQ51/'Total Doctorates'!AT51)*100</f>
        <v>48.54280510018215</v>
      </c>
      <c r="AT50" s="109">
        <f>(Gender!CR51/'Total Doctorates'!AU51)*100</f>
        <v>49.705634987384357</v>
      </c>
      <c r="AU50" s="109">
        <f>(Gender!CS51/'Total Doctorates'!AV51)*100</f>
        <v>49.069373942470392</v>
      </c>
      <c r="AV50" s="109">
        <f>(Gender!CT51/'Total Doctorates'!AW51)*100</f>
        <v>45.16949152542373</v>
      </c>
      <c r="AW50" s="109">
        <f>(Gender!CU51/'Total Doctorates'!AX51)*100</f>
        <v>45.024875621890544</v>
      </c>
      <c r="AX50" s="109">
        <f>(Gender!CV51/'Total Doctorates'!AY51)*100</f>
        <v>47.155172413793103</v>
      </c>
      <c r="AY50" s="109">
        <f>(Gender!CW51/'Total Doctorates'!AZ51)*100</f>
        <v>45.359019264448335</v>
      </c>
    </row>
    <row r="51" spans="1:51">
      <c r="A51" s="37" t="s">
        <v>212</v>
      </c>
      <c r="B51" s="108">
        <f>(Gender!AZ52/'Total Doctorates'!C52)*100</f>
        <v>15.864095031293907</v>
      </c>
      <c r="C51" s="108">
        <f>(Gender!BA52/'Total Doctorates'!D52)*100</f>
        <v>16.770565945483437</v>
      </c>
      <c r="D51" s="108">
        <f>(Gender!BB52/'Total Doctorates'!E52)*100</f>
        <v>19.03133903133903</v>
      </c>
      <c r="E51" s="108">
        <f>(Gender!BC52/'Total Doctorates'!F52)*100</f>
        <v>19.775922206954867</v>
      </c>
      <c r="F51" s="108">
        <f>(Gender!BD52/'Total Doctorates'!G52)*100</f>
        <v>22.47127731471052</v>
      </c>
      <c r="G51" s="108">
        <f>(Gender!BE52/'Total Doctorates'!H52)*100</f>
        <v>24.270422535211267</v>
      </c>
      <c r="H51" s="108">
        <f>(Gender!BF52/'Total Doctorates'!I52)*100</f>
        <v>26.257722859664607</v>
      </c>
      <c r="I51" s="108">
        <f>(Gender!BG52/'Total Doctorates'!J52)*100</f>
        <v>27.059634608755601</v>
      </c>
      <c r="J51" s="108">
        <f>(Gender!BH52/'Total Doctorates'!K52)*100</f>
        <v>29.743949491406525</v>
      </c>
      <c r="K51" s="108">
        <f>(Gender!BI52/'Total Doctorates'!L52)*100</f>
        <v>30.518711511132164</v>
      </c>
      <c r="L51" s="108">
        <f>(Gender!BJ52/'Total Doctorates'!M52)*100</f>
        <v>32.370219398153701</v>
      </c>
      <c r="M51" s="108">
        <f>(Gender!BK52/'Total Doctorates'!N52)*100</f>
        <v>32.952537981392062</v>
      </c>
      <c r="N51" s="108">
        <f>(Gender!BL52/'Total Doctorates'!O52)*100</f>
        <v>34.134275618374559</v>
      </c>
      <c r="O51" s="108">
        <f>(Gender!BM52/'Total Doctorates'!P52)*100</f>
        <v>35.535307517084277</v>
      </c>
      <c r="P51" s="108">
        <f>(Gender!BN52/'Total Doctorates'!Q52)*100</f>
        <v>35.931091058244462</v>
      </c>
      <c r="Q51" s="108">
        <f>(Gender!BO52/'Total Doctorates'!R52)*100</f>
        <v>36.028889415107749</v>
      </c>
      <c r="R51" s="108">
        <f>(Gender!BP52/'Total Doctorates'!S52)*100</f>
        <v>37.433709937744986</v>
      </c>
      <c r="S51" s="108">
        <f>(Gender!BQ52/'Total Doctorates'!T52)*100</f>
        <v>36.371005094951364</v>
      </c>
      <c r="T51" s="108">
        <f>(Gender!BR52/'Total Doctorates'!U52)*100</f>
        <v>36.744497821472457</v>
      </c>
      <c r="U51" s="108">
        <f>(Gender!BS52/'Total Doctorates'!V52)*100</f>
        <v>38.391126426879175</v>
      </c>
      <c r="V51" s="108">
        <f>(Gender!BT52/'Total Doctorates'!W52)*100</f>
        <v>38.292658021035436</v>
      </c>
      <c r="W51" s="108">
        <f>(Gender!BU52/'Total Doctorates'!X52)*100</f>
        <v>38.16448855261865</v>
      </c>
      <c r="X51" s="108">
        <f>(Gender!BV52/'Total Doctorates'!Y52)*100</f>
        <v>38.623772961415106</v>
      </c>
      <c r="Y51" s="108">
        <f>(Gender!BW52/'Total Doctorates'!Z52)*100</f>
        <v>39.200975335271501</v>
      </c>
      <c r="Z51" s="108">
        <f>(Gender!BX52/'Total Doctorates'!AA52)*100</f>
        <v>38.861849494571324</v>
      </c>
      <c r="AA51" s="108">
        <f>(Gender!BY52/'Total Doctorates'!AB52)*100</f>
        <v>40.816700238051638</v>
      </c>
      <c r="AB51" s="108">
        <f>(Gender!BZ52/'Total Doctorates'!AC52)*100</f>
        <v>40.650253711708324</v>
      </c>
      <c r="AC51" s="108">
        <f>(Gender!CA52/'Total Doctorates'!AD52)*100</f>
        <v>40.722936119071832</v>
      </c>
      <c r="AD51" s="108">
        <f>(Gender!CB52/'Total Doctorates'!AE52)*100</f>
        <v>43.356392058215789</v>
      </c>
      <c r="AE51" s="108">
        <f>(Gender!CC52/'Total Doctorates'!AF52)*100</f>
        <v>43.421564811210587</v>
      </c>
      <c r="AF51" s="108">
        <f>(Gender!CD52/'Total Doctorates'!AG52)*100</f>
        <v>44.892884468247892</v>
      </c>
      <c r="AG51" s="108">
        <f>(Gender!CE52/'Total Doctorates'!AH52)*100</f>
        <v>44.664455715957864</v>
      </c>
      <c r="AH51" s="108">
        <f>(Gender!CF52/'Total Doctorates'!AI52)*100</f>
        <v>46.403091557669441</v>
      </c>
      <c r="AI51" s="108">
        <f>(Gender!CG52/'Total Doctorates'!AJ52)*100</f>
        <v>46.769662921348313</v>
      </c>
      <c r="AJ51" s="108">
        <f>(Gender!CH52/'Total Doctorates'!AK52)*100</f>
        <v>48.264277715565512</v>
      </c>
      <c r="AK51" s="108">
        <f>(Gender!CI52/'Total Doctorates'!AL52)*100</f>
        <v>48.993016079259377</v>
      </c>
      <c r="AL51" s="108">
        <f>(Gender!CJ52/'Total Doctorates'!AM52)*100</f>
        <v>50.366163503213265</v>
      </c>
      <c r="AM51" s="108">
        <f>(Gender!CK52/'Total Doctorates'!AN52)*100</f>
        <v>50.677487649964718</v>
      </c>
      <c r="AN51" s="108">
        <f>(Gender!CL52/'Total Doctorates'!AO52)*100</f>
        <v>50.689182362704763</v>
      </c>
      <c r="AO51" s="108">
        <f>(Gender!CM52/'Total Doctorates'!AP52)*100</f>
        <v>50.13591947689369</v>
      </c>
      <c r="AP51" s="108">
        <f>(Gender!CN52/'Total Doctorates'!AQ52)*100</f>
        <v>49.140130009051262</v>
      </c>
      <c r="AQ51" s="108">
        <f>(Gender!CO52/'Total Doctorates'!AR52)*100</f>
        <v>48.289959902508059</v>
      </c>
      <c r="AR51" s="108">
        <f>(Gender!CP52/'Total Doctorates'!AS52)*100</f>
        <v>49.299207800121877</v>
      </c>
      <c r="AS51" s="108">
        <f>(Gender!CQ52/'Total Doctorates'!AT52)*100</f>
        <v>47.994854721549636</v>
      </c>
      <c r="AT51" s="108">
        <f>(Gender!CR52/'Total Doctorates'!AU52)*100</f>
        <v>48.967889908256879</v>
      </c>
      <c r="AU51" s="108">
        <f>(Gender!CS52/'Total Doctorates'!AV52)*100</f>
        <v>48.265832909183445</v>
      </c>
      <c r="AV51" s="108">
        <f>(Gender!CT52/'Total Doctorates'!AW52)*100</f>
        <v>48.135972581660482</v>
      </c>
      <c r="AW51" s="108">
        <f>(Gender!CU52/'Total Doctorates'!AX52)*100</f>
        <v>48.987016692823516</v>
      </c>
      <c r="AX51" s="108">
        <f>(Gender!CV52/'Total Doctorates'!AY52)*100</f>
        <v>49.380773178241533</v>
      </c>
      <c r="AY51" s="108">
        <f>(Gender!CW52/'Total Doctorates'!AZ52)*100</f>
        <v>48.604112760452132</v>
      </c>
    </row>
    <row r="52" spans="1:51">
      <c r="A52" s="39"/>
      <c r="B52" s="108"/>
      <c r="C52" s="108"/>
      <c r="D52" s="108"/>
      <c r="E52" s="108"/>
      <c r="F52" s="108"/>
      <c r="G52" s="108"/>
      <c r="H52" s="108"/>
      <c r="I52" s="108"/>
      <c r="J52" s="108"/>
      <c r="K52" s="108"/>
      <c r="L52" s="108"/>
      <c r="M52" s="108"/>
      <c r="N52" s="108"/>
      <c r="O52" s="108"/>
      <c r="P52" s="108"/>
      <c r="Q52" s="108"/>
      <c r="R52" s="108"/>
      <c r="S52" s="108"/>
      <c r="T52" s="108"/>
      <c r="U52" s="108"/>
      <c r="V52" s="108"/>
      <c r="W52" s="108"/>
      <c r="X52" s="108"/>
      <c r="Y52" s="108"/>
      <c r="Z52" s="108"/>
      <c r="AA52" s="108"/>
      <c r="AB52" s="108"/>
      <c r="AC52" s="108"/>
      <c r="AD52" s="108"/>
      <c r="AE52" s="108"/>
      <c r="AF52" s="108"/>
      <c r="AG52" s="108"/>
      <c r="AH52" s="108"/>
      <c r="AI52" s="108"/>
      <c r="AJ52" s="108"/>
      <c r="AK52" s="108"/>
      <c r="AL52" s="108"/>
      <c r="AM52" s="108"/>
      <c r="AN52" s="108"/>
      <c r="AO52" s="108"/>
      <c r="AP52" s="108"/>
      <c r="AQ52" s="108"/>
      <c r="AR52" s="108"/>
      <c r="AS52" s="108"/>
      <c r="AT52" s="108"/>
      <c r="AU52" s="108"/>
      <c r="AV52" s="108"/>
      <c r="AW52" s="108"/>
      <c r="AX52" s="108"/>
      <c r="AY52" s="108"/>
    </row>
    <row r="53" spans="1:51">
      <c r="A53" s="37" t="s">
        <v>129</v>
      </c>
      <c r="B53" s="108">
        <f>(Gender!AZ54/'Total Doctorates'!C54)*100</f>
        <v>18.590998043052835</v>
      </c>
      <c r="C53" s="108">
        <f>(Gender!BA54/'Total Doctorates'!D54)*100</f>
        <v>15.028901734104046</v>
      </c>
      <c r="D53" s="108">
        <f>(Gender!BB54/'Total Doctorates'!E54)*100</f>
        <v>20.588235294117645</v>
      </c>
      <c r="E53" s="108">
        <f>(Gender!BC54/'Total Doctorates'!F54)*100</f>
        <v>20.035778175313059</v>
      </c>
      <c r="F53" s="108">
        <f>(Gender!BD54/'Total Doctorates'!G54)*100</f>
        <v>22.530329289428074</v>
      </c>
      <c r="G53" s="108">
        <f>(Gender!BE54/'Total Doctorates'!H54)*100</f>
        <v>25.513698630136989</v>
      </c>
      <c r="H53" s="108">
        <f>(Gender!BF54/'Total Doctorates'!I54)*100</f>
        <v>22.9706390328152</v>
      </c>
      <c r="I53" s="108">
        <f>(Gender!BG54/'Total Doctorates'!J54)*100</f>
        <v>28.083491461100568</v>
      </c>
      <c r="J53" s="108">
        <f>(Gender!BH54/'Total Doctorates'!K54)*100</f>
        <v>28.679245283018869</v>
      </c>
      <c r="K53" s="108">
        <f>(Gender!BI54/'Total Doctorates'!L54)*100</f>
        <v>26.640159045725646</v>
      </c>
      <c r="L53" s="108">
        <f>(Gender!BJ54/'Total Doctorates'!M54)*100</f>
        <v>29.058116232464933</v>
      </c>
      <c r="M53" s="108">
        <f>(Gender!BK54/'Total Doctorates'!N54)*100</f>
        <v>34.161490683229815</v>
      </c>
      <c r="N53" s="108">
        <f>(Gender!BL54/'Total Doctorates'!O54)*100</f>
        <v>34.232365145228215</v>
      </c>
      <c r="O53" s="108">
        <f>(Gender!BM54/'Total Doctorates'!P54)*100</f>
        <v>32.978723404255319</v>
      </c>
      <c r="P53" s="108">
        <f>(Gender!BN54/'Total Doctorates'!Q54)*100</f>
        <v>37.087378640776699</v>
      </c>
      <c r="Q53" s="108">
        <f>(Gender!BO54/'Total Doctorates'!R54)*100</f>
        <v>36.440677966101696</v>
      </c>
      <c r="R53" s="108">
        <f>(Gender!BP54/'Total Doctorates'!S54)*100</f>
        <v>36.580086580086579</v>
      </c>
      <c r="S53" s="108">
        <f>(Gender!BQ54/'Total Doctorates'!T54)*100</f>
        <v>36.397748592870542</v>
      </c>
      <c r="T53" s="108">
        <f>(Gender!BR54/'Total Doctorates'!U54)*100</f>
        <v>36.29032258064516</v>
      </c>
      <c r="U53" s="108">
        <f>(Gender!BS54/'Total Doctorates'!V54)*100</f>
        <v>41.048824593128394</v>
      </c>
      <c r="V53" s="108">
        <f>(Gender!BT54/'Total Doctorates'!W54)*100</f>
        <v>37.76223776223776</v>
      </c>
      <c r="W53" s="108">
        <f>(Gender!BU54/'Total Doctorates'!X54)*100</f>
        <v>39.83606557377049</v>
      </c>
      <c r="X53" s="108">
        <f>(Gender!BV54/'Total Doctorates'!Y54)*100</f>
        <v>35.76158940397351</v>
      </c>
      <c r="Y53" s="108">
        <f>(Gender!BW54/'Total Doctorates'!Z54)*100</f>
        <v>39.206349206349209</v>
      </c>
      <c r="Z53" s="108">
        <f>(Gender!BX54/'Total Doctorates'!AA54)*100</f>
        <v>43.343653250773997</v>
      </c>
      <c r="AA53" s="108">
        <f>(Gender!BY54/'Total Doctorates'!AB54)*100</f>
        <v>42.998585572842998</v>
      </c>
      <c r="AB53" s="108">
        <f>(Gender!BZ54/'Total Doctorates'!AC54)*100</f>
        <v>40.828402366863905</v>
      </c>
      <c r="AC53" s="108">
        <f>(Gender!CA54/'Total Doctorates'!AD54)*100</f>
        <v>40.179910044977511</v>
      </c>
      <c r="AD53" s="108">
        <f>(Gender!CB54/'Total Doctorates'!AE54)*100</f>
        <v>41.836734693877553</v>
      </c>
      <c r="AE53" s="108">
        <f>(Gender!CC54/'Total Doctorates'!AF54)*100</f>
        <v>42.006802721088441</v>
      </c>
      <c r="AF53" s="108">
        <f>(Gender!CD54/'Total Doctorates'!AG54)*100</f>
        <v>47.976011994002995</v>
      </c>
      <c r="AG53" s="108">
        <f>(Gender!CE54/'Total Doctorates'!AH54)*100</f>
        <v>45.799011532125206</v>
      </c>
      <c r="AH53" s="108">
        <f>(Gender!CF54/'Total Doctorates'!AI54)*100</f>
        <v>43.001686340640809</v>
      </c>
      <c r="AI53" s="108">
        <f>(Gender!CG54/'Total Doctorates'!AJ54)*100</f>
        <v>48.76543209876543</v>
      </c>
      <c r="AJ53" s="108">
        <f>(Gender!CH54/'Total Doctorates'!AK54)*100</f>
        <v>46.764705882352942</v>
      </c>
      <c r="AK53" s="108">
        <f>(Gender!CI54/'Total Doctorates'!AL54)*100</f>
        <v>52.888888888888886</v>
      </c>
      <c r="AL53" s="108">
        <f>(Gender!CJ54/'Total Doctorates'!AM54)*100</f>
        <v>51.156462585034014</v>
      </c>
      <c r="AM53" s="108">
        <f>(Gender!CK54/'Total Doctorates'!AN54)*100</f>
        <v>48.792270531400966</v>
      </c>
      <c r="AN53" s="108">
        <f>(Gender!CL54/'Total Doctorates'!AO54)*100</f>
        <v>47.780678851174933</v>
      </c>
      <c r="AO53" s="108">
        <f>(Gender!CM54/'Total Doctorates'!AP54)*100</f>
        <v>48.575712143928037</v>
      </c>
      <c r="AP53" s="108">
        <f>(Gender!CN54/'Total Doctorates'!AQ54)*100</f>
        <v>47.313432835820898</v>
      </c>
      <c r="AQ53" s="108">
        <f>(Gender!CO54/'Total Doctorates'!AR54)*100</f>
        <v>46.200607902735563</v>
      </c>
      <c r="AR53" s="108">
        <f>(Gender!CP54/'Total Doctorates'!AS54)*100</f>
        <v>48.961038961038959</v>
      </c>
      <c r="AS53" s="108">
        <f>(Gender!CQ54/'Total Doctorates'!AT54)*100</f>
        <v>47.164948453608247</v>
      </c>
      <c r="AT53" s="108">
        <f>(Gender!CR54/'Total Doctorates'!AU54)*100</f>
        <v>46.962025316455694</v>
      </c>
      <c r="AU53" s="108">
        <f>(Gender!CS54/'Total Doctorates'!AV54)*100</f>
        <v>50.602409638554214</v>
      </c>
      <c r="AV53" s="108">
        <f>(Gender!CT54/'Total Doctorates'!AW54)*100</f>
        <v>44</v>
      </c>
      <c r="AW53" s="108">
        <f>(Gender!CU54/'Total Doctorates'!AX54)*100</f>
        <v>48.811013767209012</v>
      </c>
      <c r="AX53" s="108">
        <f>(Gender!CV54/'Total Doctorates'!AY54)*100</f>
        <v>47.613504074505236</v>
      </c>
      <c r="AY53" s="108">
        <f>(Gender!CW54/'Total Doctorates'!AZ54)*100</f>
        <v>46.75925925925926</v>
      </c>
    </row>
    <row r="54" spans="1:51">
      <c r="A54" s="37" t="s">
        <v>138</v>
      </c>
      <c r="B54" s="108">
        <f>(Gender!AZ55/'Total Doctorates'!C55)*100</f>
        <v>16.666666666666664</v>
      </c>
      <c r="C54" s="108">
        <f>(Gender!BA55/'Total Doctorates'!D55)*100</f>
        <v>8</v>
      </c>
      <c r="D54" s="108">
        <f>(Gender!BB55/'Total Doctorates'!E55)*100</f>
        <v>7.1428571428571423</v>
      </c>
      <c r="E54" s="108">
        <f>(Gender!BC55/'Total Doctorates'!F55)*100</f>
        <v>9.5238095238095237</v>
      </c>
      <c r="F54" s="108">
        <f>(Gender!BD55/'Total Doctorates'!G55)*100</f>
        <v>3.4482758620689653</v>
      </c>
      <c r="G54" s="108">
        <f>(Gender!BE55/'Total Doctorates'!H55)*100</f>
        <v>7.6923076923076925</v>
      </c>
      <c r="H54" s="108">
        <f>(Gender!BF55/'Total Doctorates'!I55)*100</f>
        <v>26.829268292682929</v>
      </c>
      <c r="I54" s="108">
        <f>(Gender!BG55/'Total Doctorates'!J55)*100</f>
        <v>10.526315789473683</v>
      </c>
      <c r="J54" s="108">
        <f>(Gender!BH55/'Total Doctorates'!K55)*100</f>
        <v>7.3170731707317067</v>
      </c>
      <c r="K54" s="108">
        <f>(Gender!BI55/'Total Doctorates'!L55)*100</f>
        <v>31.818181818181817</v>
      </c>
      <c r="L54" s="108">
        <f>(Gender!BJ55/'Total Doctorates'!M55)*100</f>
        <v>52.380952380952387</v>
      </c>
      <c r="M54" s="108">
        <f>(Gender!BK55/'Total Doctorates'!N55)*100</f>
        <v>12</v>
      </c>
      <c r="N54" s="108">
        <f>(Gender!BL55/'Total Doctorates'!O55)*100</f>
        <v>25</v>
      </c>
      <c r="O54" s="108">
        <f>(Gender!BM55/'Total Doctorates'!P55)*100</f>
        <v>31.818181818181817</v>
      </c>
      <c r="P54" s="108">
        <f>(Gender!BN55/'Total Doctorates'!Q55)*100</f>
        <v>24</v>
      </c>
      <c r="Q54" s="108">
        <f>(Gender!BO55/'Total Doctorates'!R55)*100</f>
        <v>21.739130434782609</v>
      </c>
      <c r="R54" s="108">
        <f>(Gender!BP55/'Total Doctorates'!S55)*100</f>
        <v>24.137931034482758</v>
      </c>
      <c r="S54" s="108">
        <f>(Gender!BQ55/'Total Doctorates'!T55)*100</f>
        <v>36</v>
      </c>
      <c r="T54" s="108">
        <f>(Gender!BR55/'Total Doctorates'!U55)*100</f>
        <v>28.000000000000004</v>
      </c>
      <c r="U54" s="108">
        <f>(Gender!BS55/'Total Doctorates'!V55)*100</f>
        <v>41.666666666666671</v>
      </c>
      <c r="V54" s="108">
        <f>(Gender!BT55/'Total Doctorates'!W55)*100</f>
        <v>23.52941176470588</v>
      </c>
      <c r="W54" s="108">
        <f>(Gender!BU55/'Total Doctorates'!X55)*100</f>
        <v>36.363636363636367</v>
      </c>
      <c r="X54" s="108">
        <f>(Gender!BV55/'Total Doctorates'!Y55)*100</f>
        <v>35.294117647058826</v>
      </c>
      <c r="Y54" s="108">
        <f>(Gender!BW55/'Total Doctorates'!Z55)*100</f>
        <v>45</v>
      </c>
      <c r="Z54" s="108">
        <f>(Gender!BX55/'Total Doctorates'!AA55)*100</f>
        <v>33.962264150943398</v>
      </c>
      <c r="AA54" s="108">
        <f>(Gender!BY55/'Total Doctorates'!AB55)*100</f>
        <v>35.714285714285715</v>
      </c>
      <c r="AB54" s="108">
        <f>(Gender!BZ55/'Total Doctorates'!AC55)*100</f>
        <v>23.404255319148938</v>
      </c>
      <c r="AC54" s="108">
        <f>(Gender!CA55/'Total Doctorates'!AD55)*100</f>
        <v>26.666666666666668</v>
      </c>
      <c r="AD54" s="108">
        <f>(Gender!CB55/'Total Doctorates'!AE55)*100</f>
        <v>55.102040816326522</v>
      </c>
      <c r="AE54" s="108">
        <f>(Gender!CC55/'Total Doctorates'!AF55)*100</f>
        <v>47.368421052631575</v>
      </c>
      <c r="AF54" s="108">
        <f>(Gender!CD55/'Total Doctorates'!AG55)*100</f>
        <v>32.653061224489797</v>
      </c>
      <c r="AG54" s="108">
        <f>(Gender!CE55/'Total Doctorates'!AH55)*100</f>
        <v>43.902439024390247</v>
      </c>
      <c r="AH54" s="108">
        <f>(Gender!CF55/'Total Doctorates'!AI55)*100</f>
        <v>41.025641025641022</v>
      </c>
      <c r="AI54" s="108">
        <f>(Gender!CG55/'Total Doctorates'!AJ55)*100</f>
        <v>42.857142857142854</v>
      </c>
      <c r="AJ54" s="108">
        <f>(Gender!CH55/'Total Doctorates'!AK55)*100</f>
        <v>39.534883720930232</v>
      </c>
      <c r="AK54" s="108">
        <f>(Gender!CI55/'Total Doctorates'!AL55)*100</f>
        <v>47.5</v>
      </c>
      <c r="AL54" s="108">
        <f>(Gender!CJ55/'Total Doctorates'!AM55)*100</f>
        <v>51.282051282051277</v>
      </c>
      <c r="AM54" s="108">
        <f>(Gender!CK55/'Total Doctorates'!AN55)*100</f>
        <v>64.406779661016941</v>
      </c>
      <c r="AN54" s="108">
        <f>(Gender!CL55/'Total Doctorates'!AO55)*100</f>
        <v>52</v>
      </c>
      <c r="AO54" s="108">
        <f>(Gender!CM55/'Total Doctorates'!AP55)*100</f>
        <v>59.016393442622949</v>
      </c>
      <c r="AP54" s="108">
        <f>(Gender!CN55/'Total Doctorates'!AQ55)*100</f>
        <v>42.307692307692307</v>
      </c>
      <c r="AQ54" s="108">
        <f>(Gender!CO55/'Total Doctorates'!AR55)*100</f>
        <v>46.666666666666664</v>
      </c>
      <c r="AR54" s="108">
        <f>(Gender!CP55/'Total Doctorates'!AS55)*100</f>
        <v>40.983606557377051</v>
      </c>
      <c r="AS54" s="108">
        <f>(Gender!CQ55/'Total Doctorates'!AT55)*100</f>
        <v>55.932203389830505</v>
      </c>
      <c r="AT54" s="108">
        <f>(Gender!CR55/'Total Doctorates'!AU55)*100</f>
        <v>54.651162790697668</v>
      </c>
      <c r="AU54" s="108">
        <f>(Gender!CS55/'Total Doctorates'!AV55)*100</f>
        <v>57.647058823529406</v>
      </c>
      <c r="AV54" s="108">
        <f>(Gender!CT55/'Total Doctorates'!AW55)*100</f>
        <v>55.371900826446286</v>
      </c>
      <c r="AW54" s="108">
        <f>(Gender!CU55/'Total Doctorates'!AX55)*100</f>
        <v>61.111111111111114</v>
      </c>
      <c r="AX54" s="108">
        <f>(Gender!CV55/'Total Doctorates'!AY55)*100</f>
        <v>56.60377358490566</v>
      </c>
      <c r="AY54" s="108">
        <f>(Gender!CW55/'Total Doctorates'!AZ55)*100</f>
        <v>63.157894736842103</v>
      </c>
    </row>
    <row r="55" spans="1:51">
      <c r="A55" s="37" t="s">
        <v>137</v>
      </c>
      <c r="B55" s="108">
        <f>(Gender!AZ56/'Total Doctorates'!C56)*100</f>
        <v>15.095465393794749</v>
      </c>
      <c r="C55" s="108">
        <f>(Gender!BA56/'Total Doctorates'!D56)*100</f>
        <v>15.801228364042435</v>
      </c>
      <c r="D55" s="108">
        <f>(Gender!BB56/'Total Doctorates'!E56)*100</f>
        <v>16.886688668866885</v>
      </c>
      <c r="E55" s="108">
        <f>(Gender!BC56/'Total Doctorates'!F56)*100</f>
        <v>18.63013698630137</v>
      </c>
      <c r="F55" s="108">
        <f>(Gender!BD56/'Total Doctorates'!G56)*100</f>
        <v>22.106824925816024</v>
      </c>
      <c r="G55" s="108">
        <f>(Gender!BE56/'Total Doctorates'!H56)*100</f>
        <v>22.249752229930625</v>
      </c>
      <c r="H55" s="108">
        <f>(Gender!BF56/'Total Doctorates'!I56)*100</f>
        <v>23.785926660059463</v>
      </c>
      <c r="I55" s="108">
        <f>(Gender!BG56/'Total Doctorates'!J56)*100</f>
        <v>26.262626262626267</v>
      </c>
      <c r="J55" s="108">
        <f>(Gender!BH56/'Total Doctorates'!K56)*100</f>
        <v>29.508196721311474</v>
      </c>
      <c r="K55" s="108">
        <f>(Gender!BI56/'Total Doctorates'!L56)*100</f>
        <v>28.686327077747993</v>
      </c>
      <c r="L55" s="108">
        <f>(Gender!BJ56/'Total Doctorates'!M56)*100</f>
        <v>30.723219140837411</v>
      </c>
      <c r="M55" s="108">
        <f>(Gender!BK56/'Total Doctorates'!N56)*100</f>
        <v>31.820448877805486</v>
      </c>
      <c r="N55" s="108">
        <f>(Gender!BL56/'Total Doctorates'!O56)*100</f>
        <v>33.589462129527995</v>
      </c>
      <c r="O55" s="108">
        <f>(Gender!BM56/'Total Doctorates'!P56)*100</f>
        <v>33.863885839736554</v>
      </c>
      <c r="P55" s="108">
        <f>(Gender!BN56/'Total Doctorates'!Q56)*100</f>
        <v>33.913043478260867</v>
      </c>
      <c r="Q55" s="108">
        <f>(Gender!BO56/'Total Doctorates'!R56)*100</f>
        <v>35.115362971299945</v>
      </c>
      <c r="R55" s="108">
        <f>(Gender!BP56/'Total Doctorates'!S56)*100</f>
        <v>37.238493723849366</v>
      </c>
      <c r="S55" s="108">
        <f>(Gender!BQ56/'Total Doctorates'!T56)*100</f>
        <v>35.377358490566039</v>
      </c>
      <c r="T55" s="108">
        <f>(Gender!BR56/'Total Doctorates'!U56)*100</f>
        <v>35.931853381517811</v>
      </c>
      <c r="U55" s="108">
        <f>(Gender!BS56/'Total Doctorates'!V56)*100</f>
        <v>35.599194360523668</v>
      </c>
      <c r="V55" s="108">
        <f>(Gender!BT56/'Total Doctorates'!W56)*100</f>
        <v>37.747408105560794</v>
      </c>
      <c r="W55" s="108">
        <f>(Gender!BU56/'Total Doctorates'!X56)*100</f>
        <v>36.187845303867405</v>
      </c>
      <c r="X55" s="108">
        <f>(Gender!BV56/'Total Doctorates'!Y56)*100</f>
        <v>38.164893617021278</v>
      </c>
      <c r="Y55" s="108">
        <f>(Gender!BW56/'Total Doctorates'!Z56)*100</f>
        <v>36.379613356766257</v>
      </c>
      <c r="Z55" s="108">
        <f>(Gender!BX56/'Total Doctorates'!AA56)*100</f>
        <v>38.150807899461405</v>
      </c>
      <c r="AA55" s="108">
        <f>(Gender!BY56/'Total Doctorates'!AB56)*100</f>
        <v>39.378011388523873</v>
      </c>
      <c r="AB55" s="108">
        <f>(Gender!BZ56/'Total Doctorates'!AC56)*100</f>
        <v>40.319865319865322</v>
      </c>
      <c r="AC55" s="108">
        <f>(Gender!CA56/'Total Doctorates'!AD56)*100</f>
        <v>37.852112676056336</v>
      </c>
      <c r="AD55" s="108">
        <f>(Gender!CB56/'Total Doctorates'!AE56)*100</f>
        <v>39.584964761158965</v>
      </c>
      <c r="AE55" s="108">
        <f>(Gender!CC56/'Total Doctorates'!AF56)*100</f>
        <v>42.612889083735205</v>
      </c>
      <c r="AF55" s="108">
        <f>(Gender!CD56/'Total Doctorates'!AG56)*100</f>
        <v>42.663162505475249</v>
      </c>
      <c r="AG55" s="108">
        <f>(Gender!CE56/'Total Doctorates'!AH56)*100</f>
        <v>40.107430617726052</v>
      </c>
      <c r="AH55" s="108">
        <f>(Gender!CF56/'Total Doctorates'!AI56)*100</f>
        <v>42.501093135111503</v>
      </c>
      <c r="AI55" s="108">
        <f>(Gender!CG56/'Total Doctorates'!AJ56)*100</f>
        <v>46.810344827586206</v>
      </c>
      <c r="AJ55" s="108">
        <f>(Gender!CH56/'Total Doctorates'!AK56)*100</f>
        <v>46.698872785829309</v>
      </c>
      <c r="AK55" s="108">
        <f>(Gender!CI56/'Total Doctorates'!AL56)*100</f>
        <v>48.019431988041852</v>
      </c>
      <c r="AL55" s="108">
        <f>(Gender!CJ56/'Total Doctorates'!AM56)*100</f>
        <v>48.617127624125288</v>
      </c>
      <c r="AM55" s="108">
        <f>(Gender!CK56/'Total Doctorates'!AN56)*100</f>
        <v>47.729323308270679</v>
      </c>
      <c r="AN55" s="108">
        <f>(Gender!CL56/'Total Doctorates'!AO56)*100</f>
        <v>49.121665582303187</v>
      </c>
      <c r="AO55" s="108">
        <f>(Gender!CM56/'Total Doctorates'!AP56)*100</f>
        <v>48.683344305464118</v>
      </c>
      <c r="AP55" s="108">
        <f>(Gender!CN56/'Total Doctorates'!AQ56)*100</f>
        <v>47.184170471841703</v>
      </c>
      <c r="AQ55" s="108">
        <f>(Gender!CO56/'Total Doctorates'!AR56)*100</f>
        <v>44.833815028901739</v>
      </c>
      <c r="AR55" s="108">
        <f>(Gender!CP56/'Total Doctorates'!AS56)*100</f>
        <v>46.925227113906359</v>
      </c>
      <c r="AS55" s="108">
        <f>(Gender!CQ56/'Total Doctorates'!AT56)*100</f>
        <v>44.798373432734664</v>
      </c>
      <c r="AT55" s="108">
        <f>(Gender!CR56/'Total Doctorates'!AU56)*100</f>
        <v>46.753246753246749</v>
      </c>
      <c r="AU55" s="108">
        <f>(Gender!CS56/'Total Doctorates'!AV56)*100</f>
        <v>45.794701986754966</v>
      </c>
      <c r="AV55" s="108">
        <f>(Gender!CT56/'Total Doctorates'!AW56)*100</f>
        <v>45.900123304562271</v>
      </c>
      <c r="AW55" s="108">
        <f>(Gender!CU56/'Total Doctorates'!AX56)*100</f>
        <v>47.125353440150803</v>
      </c>
      <c r="AX55" s="108">
        <f>(Gender!CV56/'Total Doctorates'!AY56)*100</f>
        <v>47.927382753403933</v>
      </c>
      <c r="AY55" s="108">
        <f>(Gender!CW56/'Total Doctorates'!AZ56)*100</f>
        <v>47.271100507008654</v>
      </c>
    </row>
    <row r="56" spans="1:51">
      <c r="A56" s="37" t="s">
        <v>145</v>
      </c>
      <c r="B56" s="108">
        <f>(Gender!AZ57/'Total Doctorates'!C57)*100</f>
        <v>14.285714285714285</v>
      </c>
      <c r="C56" s="108">
        <f>(Gender!BA57/'Total Doctorates'!D57)*100</f>
        <v>9.2592592592592595</v>
      </c>
      <c r="D56" s="108">
        <f>(Gender!BB57/'Total Doctorates'!E57)*100</f>
        <v>14.285714285714285</v>
      </c>
      <c r="E56" s="108">
        <f>(Gender!BC57/'Total Doctorates'!F57)*100</f>
        <v>7.9365079365079358</v>
      </c>
      <c r="F56" s="108">
        <f>(Gender!BD57/'Total Doctorates'!G57)*100</f>
        <v>11.76470588235294</v>
      </c>
      <c r="G56" s="108">
        <f>(Gender!BE57/'Total Doctorates'!H57)*100</f>
        <v>6.4516129032258061</v>
      </c>
      <c r="H56" s="108">
        <f>(Gender!BF57/'Total Doctorates'!I57)*100</f>
        <v>11.940298507462686</v>
      </c>
      <c r="I56" s="108">
        <f>(Gender!BG57/'Total Doctorates'!J57)*100</f>
        <v>18.181818181818183</v>
      </c>
      <c r="J56" s="108">
        <f>(Gender!BH57/'Total Doctorates'!K57)*100</f>
        <v>17.307692307692307</v>
      </c>
      <c r="K56" s="108">
        <f>(Gender!BI57/'Total Doctorates'!L57)*100</f>
        <v>22.222222222222221</v>
      </c>
      <c r="L56" s="108">
        <f>(Gender!BJ57/'Total Doctorates'!M57)*100</f>
        <v>27.586206896551722</v>
      </c>
      <c r="M56" s="108">
        <f>(Gender!BK57/'Total Doctorates'!N57)*100</f>
        <v>22.058823529411764</v>
      </c>
      <c r="N56" s="108">
        <f>(Gender!BL57/'Total Doctorates'!O57)*100</f>
        <v>27.692307692307693</v>
      </c>
      <c r="O56" s="108">
        <f>(Gender!BM57/'Total Doctorates'!P57)*100</f>
        <v>26.865671641791046</v>
      </c>
      <c r="P56" s="108">
        <f>(Gender!BN57/'Total Doctorates'!Q57)*100</f>
        <v>22.413793103448278</v>
      </c>
      <c r="Q56" s="108">
        <f>(Gender!BO57/'Total Doctorates'!R57)*100</f>
        <v>28.571428571428569</v>
      </c>
      <c r="R56" s="108">
        <f>(Gender!BP57/'Total Doctorates'!S57)*100</f>
        <v>33.333333333333329</v>
      </c>
      <c r="S56" s="108">
        <f>(Gender!BQ57/'Total Doctorates'!T57)*100</f>
        <v>33.333333333333329</v>
      </c>
      <c r="T56" s="108">
        <f>(Gender!BR57/'Total Doctorates'!U57)*100</f>
        <v>39.130434782608695</v>
      </c>
      <c r="U56" s="108">
        <f>(Gender!BS57/'Total Doctorates'!V57)*100</f>
        <v>34.482758620689658</v>
      </c>
      <c r="V56" s="108">
        <f>(Gender!BT57/'Total Doctorates'!W57)*100</f>
        <v>51.807228915662648</v>
      </c>
      <c r="W56" s="108">
        <f>(Gender!BU57/'Total Doctorates'!X57)*100</f>
        <v>35.955056179775283</v>
      </c>
      <c r="X56" s="108">
        <f>(Gender!BV57/'Total Doctorates'!Y57)*100</f>
        <v>40.506329113924053</v>
      </c>
      <c r="Y56" s="108">
        <f>(Gender!BW57/'Total Doctorates'!Z57)*100</f>
        <v>23.728813559322035</v>
      </c>
      <c r="Z56" s="108">
        <f>(Gender!BX57/'Total Doctorates'!AA57)*100</f>
        <v>37.5</v>
      </c>
      <c r="AA56" s="108">
        <f>(Gender!BY57/'Total Doctorates'!AB57)*100</f>
        <v>44.642857142857146</v>
      </c>
      <c r="AB56" s="108">
        <f>(Gender!BZ57/'Total Doctorates'!AC57)*100</f>
        <v>35.454545454545453</v>
      </c>
      <c r="AC56" s="108">
        <f>(Gender!CA57/'Total Doctorates'!AD57)*100</f>
        <v>37.681159420289859</v>
      </c>
      <c r="AD56" s="108">
        <f>(Gender!CB57/'Total Doctorates'!AE57)*100</f>
        <v>44.897959183673471</v>
      </c>
      <c r="AE56" s="108">
        <f>(Gender!CC57/'Total Doctorates'!AF57)*100</f>
        <v>42.142857142857146</v>
      </c>
      <c r="AF56" s="108">
        <f>(Gender!CD57/'Total Doctorates'!AG57)*100</f>
        <v>55.172413793103445</v>
      </c>
      <c r="AG56" s="108">
        <f>(Gender!CE57/'Total Doctorates'!AH57)*100</f>
        <v>44.444444444444443</v>
      </c>
      <c r="AH56" s="108">
        <f>(Gender!CF57/'Total Doctorates'!AI57)*100</f>
        <v>44.715447154471541</v>
      </c>
      <c r="AI56" s="108">
        <f>(Gender!CG57/'Total Doctorates'!AJ57)*100</f>
        <v>42.95774647887324</v>
      </c>
      <c r="AJ56" s="108">
        <f>(Gender!CH57/'Total Doctorates'!AK57)*100</f>
        <v>48.031496062992126</v>
      </c>
      <c r="AK56" s="108">
        <f>(Gender!CI57/'Total Doctorates'!AL57)*100</f>
        <v>47.904191616766468</v>
      </c>
      <c r="AL56" s="108">
        <f>(Gender!CJ57/'Total Doctorates'!AM57)*100</f>
        <v>54.285714285714285</v>
      </c>
      <c r="AM56" s="108">
        <f>(Gender!CK57/'Total Doctorates'!AN57)*100</f>
        <v>46.464646464646464</v>
      </c>
      <c r="AN56" s="108">
        <f>(Gender!CL57/'Total Doctorates'!AO57)*100</f>
        <v>48.780487804878049</v>
      </c>
      <c r="AO56" s="108">
        <f>(Gender!CM57/'Total Doctorates'!AP57)*100</f>
        <v>53.571428571428569</v>
      </c>
      <c r="AP56" s="108">
        <f>(Gender!CN57/'Total Doctorates'!AQ57)*100</f>
        <v>44.871794871794876</v>
      </c>
      <c r="AQ56" s="108">
        <f>(Gender!CO57/'Total Doctorates'!AR57)*100</f>
        <v>41.891891891891895</v>
      </c>
      <c r="AR56" s="108">
        <f>(Gender!CP57/'Total Doctorates'!AS57)*100</f>
        <v>47.435897435897431</v>
      </c>
      <c r="AS56" s="108">
        <f>(Gender!CQ57/'Total Doctorates'!AT57)*100</f>
        <v>52.976190476190474</v>
      </c>
      <c r="AT56" s="108">
        <f>(Gender!CR57/'Total Doctorates'!AU57)*100</f>
        <v>50.777202072538863</v>
      </c>
      <c r="AU56" s="108">
        <f>(Gender!CS57/'Total Doctorates'!AV57)*100</f>
        <v>50.531914893617028</v>
      </c>
      <c r="AV56" s="108">
        <f>(Gender!CT57/'Total Doctorates'!AW57)*100</f>
        <v>45.054945054945058</v>
      </c>
      <c r="AW56" s="108">
        <f>(Gender!CU57/'Total Doctorates'!AX57)*100</f>
        <v>54.4973544973545</v>
      </c>
      <c r="AX56" s="108">
        <f>(Gender!CV57/'Total Doctorates'!AY57)*100</f>
        <v>48.924731182795696</v>
      </c>
      <c r="AY56" s="108">
        <f>(Gender!CW57/'Total Doctorates'!AZ57)*100</f>
        <v>45.871559633027523</v>
      </c>
    </row>
    <row r="57" spans="1:51">
      <c r="A57" s="37" t="s">
        <v>146</v>
      </c>
      <c r="B57" s="108">
        <f>(Gender!AZ58/'Total Doctorates'!C58)*100</f>
        <v>8.1415929203539825</v>
      </c>
      <c r="C57" s="108">
        <f>(Gender!BA58/'Total Doctorates'!D58)*100</f>
        <v>10.344827586206897</v>
      </c>
      <c r="D57" s="108">
        <f>(Gender!BB58/'Total Doctorates'!E58)*100</f>
        <v>11.111111111111111</v>
      </c>
      <c r="E57" s="108">
        <f>(Gender!BC58/'Total Doctorates'!F58)*100</f>
        <v>13.793103448275861</v>
      </c>
      <c r="F57" s="108">
        <f>(Gender!BD58/'Total Doctorates'!G58)*100</f>
        <v>19.262981574539364</v>
      </c>
      <c r="G57" s="108">
        <f>(Gender!BE58/'Total Doctorates'!H58)*100</f>
        <v>18.802228412256266</v>
      </c>
      <c r="H57" s="108">
        <f>(Gender!BF58/'Total Doctorates'!I58)*100</f>
        <v>20.839363241678726</v>
      </c>
      <c r="I57" s="108">
        <f>(Gender!BG58/'Total Doctorates'!J58)*100</f>
        <v>23.815789473684209</v>
      </c>
      <c r="J57" s="108">
        <f>(Gender!BH58/'Total Doctorates'!K58)*100</f>
        <v>25.525946704067319</v>
      </c>
      <c r="K57" s="108">
        <f>(Gender!BI58/'Total Doctorates'!L58)*100</f>
        <v>26.425591098748264</v>
      </c>
      <c r="L57" s="108">
        <f>(Gender!BJ58/'Total Doctorates'!M58)*100</f>
        <v>28.837209302325583</v>
      </c>
      <c r="M57" s="108">
        <f>(Gender!BK58/'Total Doctorates'!N58)*100</f>
        <v>28.681177976952625</v>
      </c>
      <c r="N57" s="108">
        <f>(Gender!BL58/'Total Doctorates'!O58)*100</f>
        <v>27.215189873417721</v>
      </c>
      <c r="O57" s="108">
        <f>(Gender!BM58/'Total Doctorates'!P58)*100</f>
        <v>31.03448275862069</v>
      </c>
      <c r="P57" s="108">
        <f>(Gender!BN58/'Total Doctorates'!Q58)*100</f>
        <v>34.414668547249647</v>
      </c>
      <c r="Q57" s="108">
        <f>(Gender!BO58/'Total Doctorates'!R58)*100</f>
        <v>32.463768115942024</v>
      </c>
      <c r="R57" s="108">
        <f>(Gender!BP58/'Total Doctorates'!S58)*100</f>
        <v>32.925170068027207</v>
      </c>
      <c r="S57" s="108">
        <f>(Gender!BQ58/'Total Doctorates'!T58)*100</f>
        <v>35.074626865671647</v>
      </c>
      <c r="T57" s="108">
        <f>(Gender!BR58/'Total Doctorates'!U58)*100</f>
        <v>35.072815533980581</v>
      </c>
      <c r="U57" s="108">
        <f>(Gender!BS58/'Total Doctorates'!V58)*100</f>
        <v>35.341365461847388</v>
      </c>
      <c r="V57" s="108">
        <f>(Gender!BT58/'Total Doctorates'!W58)*100</f>
        <v>35.321637426900587</v>
      </c>
      <c r="W57" s="108">
        <f>(Gender!BU58/'Total Doctorates'!X58)*100</f>
        <v>35.171568627450981</v>
      </c>
      <c r="X57" s="108">
        <f>(Gender!BV58/'Total Doctorates'!Y58)*100</f>
        <v>33.70221327967807</v>
      </c>
      <c r="Y57" s="108">
        <f>(Gender!BW58/'Total Doctorates'!Z58)*100</f>
        <v>39.792746113989637</v>
      </c>
      <c r="Z57" s="108">
        <f>(Gender!BX58/'Total Doctorates'!AA58)*100</f>
        <v>33.914728682170541</v>
      </c>
      <c r="AA57" s="108">
        <f>(Gender!BY58/'Total Doctorates'!AB58)*100</f>
        <v>37.701804368471038</v>
      </c>
      <c r="AB57" s="108">
        <f>(Gender!BZ58/'Total Doctorates'!AC58)*100</f>
        <v>38.439581351094198</v>
      </c>
      <c r="AC57" s="108">
        <f>(Gender!CA58/'Total Doctorates'!AD58)*100</f>
        <v>39.691714836223504</v>
      </c>
      <c r="AD57" s="108">
        <f>(Gender!CB58/'Total Doctorates'!AE58)*100</f>
        <v>40.875912408759127</v>
      </c>
      <c r="AE57" s="108">
        <f>(Gender!CC58/'Total Doctorates'!AF58)*100</f>
        <v>37.605042016806721</v>
      </c>
      <c r="AF57" s="108">
        <f>(Gender!CD58/'Total Doctorates'!AG58)*100</f>
        <v>41.558441558441558</v>
      </c>
      <c r="AG57" s="108">
        <f>(Gender!CE58/'Total Doctorates'!AH58)*100</f>
        <v>44.549763033175353</v>
      </c>
      <c r="AH57" s="108">
        <f>(Gender!CF58/'Total Doctorates'!AI58)*100</f>
        <v>43.673469387755105</v>
      </c>
      <c r="AI57" s="108">
        <f>(Gender!CG58/'Total Doctorates'!AJ58)*100</f>
        <v>44.581749049429661</v>
      </c>
      <c r="AJ57" s="108">
        <f>(Gender!CH58/'Total Doctorates'!AK58)*100</f>
        <v>44.33164128595601</v>
      </c>
      <c r="AK57" s="108">
        <f>(Gender!CI58/'Total Doctorates'!AL58)*100</f>
        <v>44.483362521891415</v>
      </c>
      <c r="AL57" s="108">
        <f>(Gender!CJ58/'Total Doctorates'!AM58)*100</f>
        <v>45.303408146300917</v>
      </c>
      <c r="AM57" s="108">
        <f>(Gender!CK58/'Total Doctorates'!AN58)*100</f>
        <v>45.943775100401609</v>
      </c>
      <c r="AN57" s="108">
        <f>(Gender!CL58/'Total Doctorates'!AO58)*100</f>
        <v>48.562783661119518</v>
      </c>
      <c r="AO57" s="108">
        <f>(Gender!CM58/'Total Doctorates'!AP58)*100</f>
        <v>49.237170596393895</v>
      </c>
      <c r="AP57" s="108">
        <f>(Gender!CN58/'Total Doctorates'!AQ58)*100</f>
        <v>51.920122887864828</v>
      </c>
      <c r="AQ57" s="108">
        <f>(Gender!CO58/'Total Doctorates'!AR58)*100</f>
        <v>50.7473309608541</v>
      </c>
      <c r="AR57" s="108">
        <f>(Gender!CP58/'Total Doctorates'!AS58)*100</f>
        <v>51.430615164520745</v>
      </c>
      <c r="AS57" s="108">
        <f>(Gender!CQ58/'Total Doctorates'!AT58)*100</f>
        <v>46.387154326494198</v>
      </c>
      <c r="AT57" s="108">
        <f>(Gender!CR58/'Total Doctorates'!AU58)*100</f>
        <v>49.137931034482754</v>
      </c>
      <c r="AU57" s="108">
        <f>(Gender!CS58/'Total Doctorates'!AV58)*100</f>
        <v>45.847632120796156</v>
      </c>
      <c r="AV57" s="108">
        <f>(Gender!CT58/'Total Doctorates'!AW58)*100</f>
        <v>50.578624914908097</v>
      </c>
      <c r="AW57" s="108">
        <f>(Gender!CU58/'Total Doctorates'!AX58)*100</f>
        <v>48.751733703190013</v>
      </c>
      <c r="AX57" s="108">
        <f>(Gender!CV58/'Total Doctorates'!AY58)*100</f>
        <v>54.246745195288284</v>
      </c>
      <c r="AY57" s="108">
        <f>(Gender!CW58/'Total Doctorates'!AZ58)*100</f>
        <v>49.725106902871104</v>
      </c>
    </row>
    <row r="58" spans="1:51">
      <c r="A58" s="37" t="s">
        <v>149</v>
      </c>
      <c r="B58" s="108">
        <f>(Gender!AZ59/'Total Doctorates'!C59)*100</f>
        <v>18.226002430133658</v>
      </c>
      <c r="C58" s="108">
        <f>(Gender!BA59/'Total Doctorates'!D59)*100</f>
        <v>19.70326409495549</v>
      </c>
      <c r="D58" s="108">
        <f>(Gender!BB59/'Total Doctorates'!E59)*100</f>
        <v>22.511782644857224</v>
      </c>
      <c r="E58" s="108">
        <f>(Gender!BC59/'Total Doctorates'!F59)*100</f>
        <v>22.236276245889197</v>
      </c>
      <c r="F58" s="108">
        <f>(Gender!BD59/'Total Doctorates'!G59)*100</f>
        <v>24.91170877478946</v>
      </c>
      <c r="G58" s="108">
        <f>(Gender!BE59/'Total Doctorates'!H59)*100</f>
        <v>27.354390031874821</v>
      </c>
      <c r="H58" s="108">
        <f>(Gender!BF59/'Total Doctorates'!I59)*100</f>
        <v>29.72972972972973</v>
      </c>
      <c r="I58" s="108">
        <f>(Gender!BG59/'Total Doctorates'!J59)*100</f>
        <v>29.240943070730307</v>
      </c>
      <c r="J58" s="108">
        <f>(Gender!BH59/'Total Doctorates'!K59)*100</f>
        <v>32.088235294117645</v>
      </c>
      <c r="K58" s="108">
        <f>(Gender!BI59/'Total Doctorates'!L59)*100</f>
        <v>33.608004708652153</v>
      </c>
      <c r="L58" s="108">
        <f>(Gender!BJ59/'Total Doctorates'!M59)*100</f>
        <v>35.792592592592591</v>
      </c>
      <c r="M58" s="108">
        <f>(Gender!BK59/'Total Doctorates'!N59)*100</f>
        <v>36.067588325652842</v>
      </c>
      <c r="N58" s="108">
        <f>(Gender!BL59/'Total Doctorates'!O59)*100</f>
        <v>35.777845965019942</v>
      </c>
      <c r="O58" s="108">
        <f>(Gender!BM59/'Total Doctorates'!P59)*100</f>
        <v>37.849732788431311</v>
      </c>
      <c r="P58" s="108">
        <f>(Gender!BN59/'Total Doctorates'!Q59)*100</f>
        <v>38.368580060422964</v>
      </c>
      <c r="Q58" s="108">
        <f>(Gender!BO59/'Total Doctorates'!R59)*100</f>
        <v>39.31547619047619</v>
      </c>
      <c r="R58" s="108">
        <f>(Gender!BP59/'Total Doctorates'!S59)*100</f>
        <v>40.515977719143947</v>
      </c>
      <c r="S58" s="108">
        <f>(Gender!BQ59/'Total Doctorates'!T59)*100</f>
        <v>37.897237897237893</v>
      </c>
      <c r="T58" s="108">
        <f>(Gender!BR59/'Total Doctorates'!U59)*100</f>
        <v>38.504074505238648</v>
      </c>
      <c r="U58" s="108">
        <f>(Gender!BS59/'Total Doctorates'!V59)*100</f>
        <v>41.044984632578938</v>
      </c>
      <c r="V58" s="108">
        <f>(Gender!BT59/'Total Doctorates'!W59)*100</f>
        <v>40.57782404997397</v>
      </c>
      <c r="W58" s="108">
        <f>(Gender!BU59/'Total Doctorates'!X59)*100</f>
        <v>40.731525255038562</v>
      </c>
      <c r="X58" s="108">
        <f>(Gender!BV59/'Total Doctorates'!Y59)*100</f>
        <v>41.116352201257861</v>
      </c>
      <c r="Y58" s="108">
        <f>(Gender!BW59/'Total Doctorates'!Z59)*100</f>
        <v>41.161928306551296</v>
      </c>
      <c r="Z58" s="108">
        <f>(Gender!BX59/'Total Doctorates'!AA59)*100</f>
        <v>40.720496894409933</v>
      </c>
      <c r="AA58" s="108">
        <f>(Gender!BY59/'Total Doctorates'!AB59)*100</f>
        <v>42.224458983392047</v>
      </c>
      <c r="AB58" s="108">
        <f>(Gender!BZ59/'Total Doctorates'!AC59)*100</f>
        <v>42.257636122177956</v>
      </c>
      <c r="AC58" s="108">
        <f>(Gender!CA59/'Total Doctorates'!AD59)*100</f>
        <v>43.483837865572092</v>
      </c>
      <c r="AD58" s="108">
        <f>(Gender!CB59/'Total Doctorates'!AE59)*100</f>
        <v>46.748068776476451</v>
      </c>
      <c r="AE58" s="108">
        <f>(Gender!CC59/'Total Doctorates'!AF59)*100</f>
        <v>45.302102741549113</v>
      </c>
      <c r="AF58" s="108">
        <f>(Gender!CD59/'Total Doctorates'!AG59)*100</f>
        <v>46.100978059740946</v>
      </c>
      <c r="AG58" s="108">
        <f>(Gender!CE59/'Total Doctorates'!AH59)*100</f>
        <v>47.06853839801817</v>
      </c>
      <c r="AH58" s="108">
        <f>(Gender!CF59/'Total Doctorates'!AI59)*100</f>
        <v>51.35681293302541</v>
      </c>
      <c r="AI58" s="108">
        <f>(Gender!CG59/'Total Doctorates'!AJ59)*100</f>
        <v>47.634322373696875</v>
      </c>
      <c r="AJ58" s="108">
        <f>(Gender!CH59/'Total Doctorates'!AK59)*100</f>
        <v>48.546365914786968</v>
      </c>
      <c r="AK58" s="108">
        <f>(Gender!CI59/'Total Doctorates'!AL59)*100</f>
        <v>49.47126436781609</v>
      </c>
      <c r="AL58" s="108">
        <f>(Gender!CJ59/'Total Doctorates'!AM59)*100</f>
        <v>50.840336134453779</v>
      </c>
      <c r="AM58" s="108">
        <f>(Gender!CK59/'Total Doctorates'!AN59)*100</f>
        <v>50.740184509761853</v>
      </c>
      <c r="AN58" s="108">
        <f>(Gender!CL59/'Total Doctorates'!AO59)*100</f>
        <v>49.378216123499143</v>
      </c>
      <c r="AO58" s="108">
        <f>(Gender!CM59/'Total Doctorates'!AP59)*100</f>
        <v>51.360691144708426</v>
      </c>
      <c r="AP58" s="108">
        <f>(Gender!CN59/'Total Doctorates'!AQ59)*100</f>
        <v>50.937717064135214</v>
      </c>
      <c r="AQ58" s="108">
        <f>(Gender!CO59/'Total Doctorates'!AR59)*100</f>
        <v>49.33692964711171</v>
      </c>
      <c r="AR58" s="108">
        <f>(Gender!CP59/'Total Doctorates'!AS59)*100</f>
        <v>51.32192846034215</v>
      </c>
      <c r="AS58" s="108">
        <f>(Gender!CQ59/'Total Doctorates'!AT59)*100</f>
        <v>50.663576995997474</v>
      </c>
      <c r="AT58" s="108">
        <f>(Gender!CR59/'Total Doctorates'!AU59)*100</f>
        <v>50.030908716257983</v>
      </c>
      <c r="AU58" s="108">
        <f>(Gender!CS59/'Total Doctorates'!AV59)*100</f>
        <v>50.149828767123282</v>
      </c>
      <c r="AV58" s="108">
        <f>(Gender!CT59/'Total Doctorates'!AW59)*100</f>
        <v>49.815800245599675</v>
      </c>
      <c r="AW58" s="108">
        <f>(Gender!CU59/'Total Doctorates'!AX59)*100</f>
        <v>50.278730703259001</v>
      </c>
      <c r="AX58" s="108">
        <f>(Gender!CV59/'Total Doctorates'!AY59)*100</f>
        <v>50.740515317508624</v>
      </c>
      <c r="AY58" s="108">
        <f>(Gender!CW59/'Total Doctorates'!AZ59)*100</f>
        <v>49.770737807419756</v>
      </c>
    </row>
    <row r="59" spans="1:51">
      <c r="A59" s="37" t="s">
        <v>152</v>
      </c>
      <c r="B59" s="108">
        <f>(Gender!AZ60/'Total Doctorates'!C60)*100</f>
        <v>14.276139410187669</v>
      </c>
      <c r="C59" s="108">
        <f>(Gender!BA60/'Total Doctorates'!D60)*100</f>
        <v>15.403422982885084</v>
      </c>
      <c r="D59" s="108">
        <f>(Gender!BB60/'Total Doctorates'!E60)*100</f>
        <v>17.281232801320858</v>
      </c>
      <c r="E59" s="108">
        <f>(Gender!BC60/'Total Doctorates'!F60)*100</f>
        <v>18.794520547945208</v>
      </c>
      <c r="F59" s="108">
        <f>(Gender!BD60/'Total Doctorates'!G60)*100</f>
        <v>20.14431749849669</v>
      </c>
      <c r="G59" s="108">
        <f>(Gender!BE60/'Total Doctorates'!H60)*100</f>
        <v>23.828345567476003</v>
      </c>
      <c r="H59" s="108">
        <f>(Gender!BF60/'Total Doctorates'!I60)*100</f>
        <v>25.483692647871752</v>
      </c>
      <c r="I59" s="108">
        <f>(Gender!BG60/'Total Doctorates'!J60)*100</f>
        <v>25.85995085995086</v>
      </c>
      <c r="J59" s="108">
        <f>(Gender!BH60/'Total Doctorates'!K60)*100</f>
        <v>29.05775075987842</v>
      </c>
      <c r="K59" s="108">
        <f>(Gender!BI60/'Total Doctorates'!L60)*100</f>
        <v>29.553679131483719</v>
      </c>
      <c r="L59" s="108">
        <f>(Gender!BJ60/'Total Doctorates'!M60)*100</f>
        <v>29.838226482923908</v>
      </c>
      <c r="M59" s="108">
        <f>(Gender!BK60/'Total Doctorates'!N60)*100</f>
        <v>31.911057692307693</v>
      </c>
      <c r="N59" s="108">
        <f>(Gender!BL60/'Total Doctorates'!O60)*100</f>
        <v>35.706401766004412</v>
      </c>
      <c r="O59" s="108">
        <f>(Gender!BM60/'Total Doctorates'!P60)*100</f>
        <v>36.456558773424192</v>
      </c>
      <c r="P59" s="108">
        <f>(Gender!BN60/'Total Doctorates'!Q60)*100</f>
        <v>34.230355220667384</v>
      </c>
      <c r="Q59" s="108">
        <f>(Gender!BO60/'Total Doctorates'!R60)*100</f>
        <v>32.756756756756758</v>
      </c>
      <c r="R59" s="108">
        <f>(Gender!BP60/'Total Doctorates'!S60)*100</f>
        <v>34.825327510917035</v>
      </c>
      <c r="S59" s="108">
        <f>(Gender!BQ60/'Total Doctorates'!T60)*100</f>
        <v>35.349611542730294</v>
      </c>
      <c r="T59" s="108">
        <f>(Gender!BR60/'Total Doctorates'!U60)*100</f>
        <v>35.706695005313499</v>
      </c>
      <c r="U59" s="108">
        <f>(Gender!BS60/'Total Doctorates'!V60)*100</f>
        <v>37.000493339911202</v>
      </c>
      <c r="V59" s="108">
        <f>(Gender!BT60/'Total Doctorates'!W60)*100</f>
        <v>35.019646365422396</v>
      </c>
      <c r="W59" s="108">
        <f>(Gender!BU60/'Total Doctorates'!X60)*100</f>
        <v>36.084905660377359</v>
      </c>
      <c r="X59" s="108">
        <f>(Gender!BV60/'Total Doctorates'!Y60)*100</f>
        <v>37.846433439345752</v>
      </c>
      <c r="Y59" s="108">
        <f>(Gender!BW60/'Total Doctorates'!Z60)*100</f>
        <v>38.906043228936923</v>
      </c>
      <c r="Z59" s="108">
        <f>(Gender!BX60/'Total Doctorates'!AA60)*100</f>
        <v>37.739207832665777</v>
      </c>
      <c r="AA59" s="108">
        <f>(Gender!BY60/'Total Doctorates'!AB60)*100</f>
        <v>40.674437968359697</v>
      </c>
      <c r="AB59" s="108">
        <f>(Gender!BZ60/'Total Doctorates'!AC60)*100</f>
        <v>39.600886917960089</v>
      </c>
      <c r="AC59" s="108">
        <f>(Gender!CA60/'Total Doctorates'!AD60)*100</f>
        <v>39.926138695116947</v>
      </c>
      <c r="AD59" s="108">
        <f>(Gender!CB60/'Total Doctorates'!AE60)*100</f>
        <v>42.395358474927477</v>
      </c>
      <c r="AE59" s="108">
        <f>(Gender!CC60/'Total Doctorates'!AF60)*100</f>
        <v>43.942133815551536</v>
      </c>
      <c r="AF59" s="108">
        <f>(Gender!CD60/'Total Doctorates'!AG60)*100</f>
        <v>45.658012533572069</v>
      </c>
      <c r="AG59" s="108">
        <f>(Gender!CE60/'Total Doctorates'!AH60)*100</f>
        <v>44.607843137254903</v>
      </c>
      <c r="AH59" s="108">
        <f>(Gender!CF60/'Total Doctorates'!AI60)*100</f>
        <v>45.557000433463372</v>
      </c>
      <c r="AI59" s="108">
        <f>(Gender!CG60/'Total Doctorates'!AJ60)*100</f>
        <v>46.647470176881939</v>
      </c>
      <c r="AJ59" s="108">
        <f>(Gender!CH60/'Total Doctorates'!AK60)*100</f>
        <v>51.196856020007139</v>
      </c>
      <c r="AK59" s="108">
        <f>(Gender!CI60/'Total Doctorates'!AL60)*100</f>
        <v>49.847921595133492</v>
      </c>
      <c r="AL59" s="108">
        <f>(Gender!CJ60/'Total Doctorates'!AM60)*100</f>
        <v>53.171753441053262</v>
      </c>
      <c r="AM59" s="108">
        <f>(Gender!CK60/'Total Doctorates'!AN60)*100</f>
        <v>55.87482219061166</v>
      </c>
      <c r="AN59" s="108">
        <f>(Gender!CL60/'Total Doctorates'!AO60)*100</f>
        <v>55.020551967116852</v>
      </c>
      <c r="AO59" s="108">
        <f>(Gender!CM60/'Total Doctorates'!AP60)*100</f>
        <v>50.062421972534331</v>
      </c>
      <c r="AP59" s="108">
        <f>(Gender!CN60/'Total Doctorates'!AQ60)*100</f>
        <v>47.469788519637461</v>
      </c>
      <c r="AQ59" s="108">
        <f>(Gender!CO60/'Total Doctorates'!AR60)*100</f>
        <v>50.261962975899408</v>
      </c>
      <c r="AR59" s="108">
        <f>(Gender!CP60/'Total Doctorates'!AS60)*100</f>
        <v>48.265409228696534</v>
      </c>
      <c r="AS59" s="108">
        <f>(Gender!CQ60/'Total Doctorates'!AT60)*100</f>
        <v>47.159663865546221</v>
      </c>
      <c r="AT59" s="108">
        <f>(Gender!CR60/'Total Doctorates'!AU60)*100</f>
        <v>48.574174943928227</v>
      </c>
      <c r="AU59" s="108">
        <f>(Gender!CS60/'Total Doctorates'!AV60)*100</f>
        <v>47.450470932120822</v>
      </c>
      <c r="AV59" s="108">
        <f>(Gender!CT60/'Total Doctorates'!AW60)*100</f>
        <v>47.423999999999999</v>
      </c>
      <c r="AW59" s="108">
        <f>(Gender!CU60/'Total Doctorates'!AX60)*100</f>
        <v>48.167867209520828</v>
      </c>
      <c r="AX59" s="108">
        <f>(Gender!CV60/'Total Doctorates'!AY60)*100</f>
        <v>47.165674913874099</v>
      </c>
      <c r="AY59" s="108">
        <f>(Gender!CW60/'Total Doctorates'!AZ60)*100</f>
        <v>48.032735284859932</v>
      </c>
    </row>
    <row r="60" spans="1:51">
      <c r="A60" s="37" t="s">
        <v>153</v>
      </c>
      <c r="B60" s="108">
        <f>(Gender!AZ61/'Total Doctorates'!C61)*100</f>
        <v>10.160427807486631</v>
      </c>
      <c r="C60" s="108">
        <f>(Gender!BA61/'Total Doctorates'!D61)*100</f>
        <v>14.492753623188406</v>
      </c>
      <c r="D60" s="108">
        <f>(Gender!BB61/'Total Doctorates'!E61)*100</f>
        <v>12.980769230769232</v>
      </c>
      <c r="E60" s="108">
        <f>(Gender!BC61/'Total Doctorates'!F61)*100</f>
        <v>16.753926701570681</v>
      </c>
      <c r="F60" s="108">
        <f>(Gender!BD61/'Total Doctorates'!G61)*100</f>
        <v>16.818181818181817</v>
      </c>
      <c r="G60" s="108">
        <f>(Gender!BE61/'Total Doctorates'!H61)*100</f>
        <v>20.588235294117645</v>
      </c>
      <c r="H60" s="108">
        <f>(Gender!BF61/'Total Doctorates'!I61)*100</f>
        <v>29.896907216494846</v>
      </c>
      <c r="I60" s="108">
        <f>(Gender!BG61/'Total Doctorates'!J61)*100</f>
        <v>21.078431372549019</v>
      </c>
      <c r="J60" s="108">
        <f>(Gender!BH61/'Total Doctorates'!K61)*100</f>
        <v>23.936170212765958</v>
      </c>
      <c r="K60" s="108">
        <f>(Gender!BI61/'Total Doctorates'!L61)*100</f>
        <v>31.216931216931215</v>
      </c>
      <c r="L60" s="108">
        <f>(Gender!BJ61/'Total Doctorates'!M61)*100</f>
        <v>29.55665024630542</v>
      </c>
      <c r="M60" s="108">
        <f>(Gender!BK61/'Total Doctorates'!N61)*100</f>
        <v>23.428571428571431</v>
      </c>
      <c r="N60" s="108">
        <f>(Gender!BL61/'Total Doctorates'!O61)*100</f>
        <v>29.702970297029701</v>
      </c>
      <c r="O60" s="108">
        <f>(Gender!BM61/'Total Doctorates'!P61)*100</f>
        <v>32.584269662921351</v>
      </c>
      <c r="P60" s="108">
        <f>(Gender!BN61/'Total Doctorates'!Q61)*100</f>
        <v>33.519553072625698</v>
      </c>
      <c r="Q60" s="108">
        <f>(Gender!BO61/'Total Doctorates'!R61)*100</f>
        <v>32.142857142857146</v>
      </c>
      <c r="R60" s="108">
        <f>(Gender!BP61/'Total Doctorates'!S61)*100</f>
        <v>28.415300546448087</v>
      </c>
      <c r="S60" s="108">
        <f>(Gender!BQ61/'Total Doctorates'!T61)*100</f>
        <v>32.075471698113205</v>
      </c>
      <c r="T60" s="108">
        <f>(Gender!BR61/'Total Doctorates'!U61)*100</f>
        <v>32.489451476793249</v>
      </c>
      <c r="U60" s="108">
        <f>(Gender!BS61/'Total Doctorates'!V61)*100</f>
        <v>34.684684684684683</v>
      </c>
      <c r="V60" s="108">
        <f>(Gender!BT61/'Total Doctorates'!W61)*100</f>
        <v>41.05263157894737</v>
      </c>
      <c r="W60" s="108">
        <f>(Gender!BU61/'Total Doctorates'!X61)*100</f>
        <v>37.777777777777779</v>
      </c>
      <c r="X60" s="108">
        <f>(Gender!BV61/'Total Doctorates'!Y61)*100</f>
        <v>36.099585062240664</v>
      </c>
      <c r="Y60" s="108">
        <f>(Gender!BW61/'Total Doctorates'!Z61)*100</f>
        <v>38.289962825278813</v>
      </c>
      <c r="Z60" s="108">
        <f>(Gender!BX61/'Total Doctorates'!AA61)*100</f>
        <v>35.686274509803923</v>
      </c>
      <c r="AA60" s="108">
        <f>(Gender!BY61/'Total Doctorates'!AB61)*100</f>
        <v>38.983050847457626</v>
      </c>
      <c r="AB60" s="108">
        <f>(Gender!BZ61/'Total Doctorates'!AC61)*100</f>
        <v>41.860465116279073</v>
      </c>
      <c r="AC60" s="108">
        <f>(Gender!CA61/'Total Doctorates'!AD61)*100</f>
        <v>41.25</v>
      </c>
      <c r="AD60" s="108">
        <f>(Gender!CB61/'Total Doctorates'!AE61)*100</f>
        <v>43.951612903225808</v>
      </c>
      <c r="AE60" s="108">
        <f>(Gender!CC61/'Total Doctorates'!AF61)*100</f>
        <v>42.1875</v>
      </c>
      <c r="AF60" s="108">
        <f>(Gender!CD61/'Total Doctorates'!AG61)*100</f>
        <v>41.860465116279073</v>
      </c>
      <c r="AG60" s="108">
        <f>(Gender!CE61/'Total Doctorates'!AH61)*100</f>
        <v>46</v>
      </c>
      <c r="AH60" s="108">
        <f>(Gender!CF61/'Total Doctorates'!AI61)*100</f>
        <v>38.84297520661157</v>
      </c>
      <c r="AI60" s="108">
        <f>(Gender!CG61/'Total Doctorates'!AJ61)*100</f>
        <v>40.650406504065039</v>
      </c>
      <c r="AJ60" s="108">
        <f>(Gender!CH61/'Total Doctorates'!AK61)*100</f>
        <v>49.397590361445779</v>
      </c>
      <c r="AK60" s="108">
        <f>(Gender!CI61/'Total Doctorates'!AL61)*100</f>
        <v>49.382716049382715</v>
      </c>
      <c r="AL60" s="108">
        <f>(Gender!CJ61/'Total Doctorates'!AM61)*100</f>
        <v>45.514950166112953</v>
      </c>
      <c r="AM60" s="108">
        <f>(Gender!CK61/'Total Doctorates'!AN61)*100</f>
        <v>48.387096774193552</v>
      </c>
      <c r="AN60" s="108">
        <f>(Gender!CL61/'Total Doctorates'!AO61)*100</f>
        <v>51.863354037267086</v>
      </c>
      <c r="AO60" s="108">
        <f>(Gender!CM61/'Total Doctorates'!AP61)*100</f>
        <v>48.511904761904759</v>
      </c>
      <c r="AP60" s="108">
        <f>(Gender!CN61/'Total Doctorates'!AQ61)*100</f>
        <v>47.840531561461795</v>
      </c>
      <c r="AQ60" s="108">
        <f>(Gender!CO61/'Total Doctorates'!AR61)*100</f>
        <v>43.548387096774192</v>
      </c>
      <c r="AR60" s="108">
        <f>(Gender!CP61/'Total Doctorates'!AS61)*100</f>
        <v>46.397694524495677</v>
      </c>
      <c r="AS60" s="108">
        <f>(Gender!CQ61/'Total Doctorates'!AT61)*100</f>
        <v>46.385542168674696</v>
      </c>
      <c r="AT60" s="108">
        <f>(Gender!CR61/'Total Doctorates'!AU61)*100</f>
        <v>57.381615598885794</v>
      </c>
      <c r="AU60" s="108">
        <f>(Gender!CS61/'Total Doctorates'!AV61)*100</f>
        <v>52.678571428571431</v>
      </c>
      <c r="AV60" s="108">
        <f>(Gender!CT61/'Total Doctorates'!AW61)*100</f>
        <v>50.696378830083567</v>
      </c>
      <c r="AW60" s="108">
        <f>(Gender!CU61/'Total Doctorates'!AX61)*100</f>
        <v>49.710982658959537</v>
      </c>
      <c r="AX60" s="108">
        <f>(Gender!CV61/'Total Doctorates'!AY61)*100</f>
        <v>43.78531073446328</v>
      </c>
      <c r="AY60" s="108">
        <f>(Gender!CW61/'Total Doctorates'!AZ61)*100</f>
        <v>43.922651933701658</v>
      </c>
    </row>
    <row r="61" spans="1:51">
      <c r="A61" s="42" t="s">
        <v>156</v>
      </c>
      <c r="B61" s="109">
        <f>(Gender!AZ62/'Total Doctorates'!C62)*100</f>
        <v>15.151515151515152</v>
      </c>
      <c r="C61" s="109">
        <f>(Gender!BA62/'Total Doctorates'!D62)*100</f>
        <v>3.5714285714285712</v>
      </c>
      <c r="D61" s="109">
        <f>(Gender!BB62/'Total Doctorates'!E62)*100</f>
        <v>31.428571428571427</v>
      </c>
      <c r="E61" s="109">
        <f>(Gender!BC62/'Total Doctorates'!F62)*100</f>
        <v>13.793103448275861</v>
      </c>
      <c r="F61" s="109">
        <f>(Gender!BD62/'Total Doctorates'!G62)*100</f>
        <v>18.421052631578945</v>
      </c>
      <c r="G61" s="109">
        <f>(Gender!BE62/'Total Doctorates'!H62)*100</f>
        <v>17.073170731707318</v>
      </c>
      <c r="H61" s="109">
        <f>(Gender!BF62/'Total Doctorates'!I62)*100</f>
        <v>17.948717948717949</v>
      </c>
      <c r="I61" s="109">
        <f>(Gender!BG62/'Total Doctorates'!J62)*100</f>
        <v>33.333333333333329</v>
      </c>
      <c r="J61" s="109">
        <f>(Gender!BH62/'Total Doctorates'!K62)*100</f>
        <v>25</v>
      </c>
      <c r="K61" s="109">
        <f>(Gender!BI62/'Total Doctorates'!L62)*100</f>
        <v>22.222222222222221</v>
      </c>
      <c r="L61" s="109">
        <f>(Gender!BJ62/'Total Doctorates'!M62)*100</f>
        <v>34.375</v>
      </c>
      <c r="M61" s="109">
        <f>(Gender!BK62/'Total Doctorates'!N62)*100</f>
        <v>20</v>
      </c>
      <c r="N61" s="109">
        <f>(Gender!BL62/'Total Doctorates'!O62)*100</f>
        <v>26.923076923076923</v>
      </c>
      <c r="O61" s="109">
        <f>(Gender!BM62/'Total Doctorates'!P62)*100</f>
        <v>39.285714285714285</v>
      </c>
      <c r="P61" s="109">
        <f>(Gender!BN62/'Total Doctorates'!Q62)*100</f>
        <v>56.410256410256409</v>
      </c>
      <c r="Q61" s="109">
        <f>(Gender!BO62/'Total Doctorates'!R62)*100</f>
        <v>48.275862068965516</v>
      </c>
      <c r="R61" s="109">
        <f>(Gender!BP62/'Total Doctorates'!S62)*100</f>
        <v>49.056603773584904</v>
      </c>
      <c r="S61" s="109">
        <f>(Gender!BQ62/'Total Doctorates'!T62)*100</f>
        <v>51.219512195121951</v>
      </c>
      <c r="T61" s="109">
        <f>(Gender!BR62/'Total Doctorates'!U62)*100</f>
        <v>40</v>
      </c>
      <c r="U61" s="109">
        <f>(Gender!BS62/'Total Doctorates'!V62)*100</f>
        <v>53.061224489795919</v>
      </c>
      <c r="V61" s="109">
        <f>(Gender!BT62/'Total Doctorates'!W62)*100</f>
        <v>50.847457627118644</v>
      </c>
      <c r="W61" s="109">
        <f>(Gender!BU62/'Total Doctorates'!X62)*100</f>
        <v>41.666666666666671</v>
      </c>
      <c r="X61" s="109">
        <f>(Gender!BV62/'Total Doctorates'!Y62)*100</f>
        <v>48.936170212765958</v>
      </c>
      <c r="Y61" s="109">
        <f>(Gender!BW62/'Total Doctorates'!Z62)*100</f>
        <v>47.169811320754718</v>
      </c>
      <c r="Z61" s="109">
        <f>(Gender!BX62/'Total Doctorates'!AA62)*100</f>
        <v>40.322580645161288</v>
      </c>
      <c r="AA61" s="109">
        <f>(Gender!BY62/'Total Doctorates'!AB62)*100</f>
        <v>42.592592592592595</v>
      </c>
      <c r="AB61" s="109">
        <f>(Gender!BZ62/'Total Doctorates'!AC62)*100</f>
        <v>45.901639344262293</v>
      </c>
      <c r="AC61" s="109">
        <f>(Gender!CA62/'Total Doctorates'!AD62)*100</f>
        <v>50</v>
      </c>
      <c r="AD61" s="109">
        <f>(Gender!CB62/'Total Doctorates'!AE62)*100</f>
        <v>56.451612903225815</v>
      </c>
      <c r="AE61" s="109">
        <f>(Gender!CC62/'Total Doctorates'!AF62)*100</f>
        <v>50</v>
      </c>
      <c r="AF61" s="109">
        <f>(Gender!CD62/'Total Doctorates'!AG62)*100</f>
        <v>49.230769230769234</v>
      </c>
      <c r="AG61" s="109">
        <f>(Gender!CE62/'Total Doctorates'!AH62)*100</f>
        <v>56.451612903225815</v>
      </c>
      <c r="AH61" s="109">
        <f>(Gender!CF62/'Total Doctorates'!AI62)*100</f>
        <v>57.894736842105267</v>
      </c>
      <c r="AI61" s="109">
        <f>(Gender!CG62/'Total Doctorates'!AJ62)*100</f>
        <v>52.272727272727273</v>
      </c>
      <c r="AJ61" s="109">
        <f>(Gender!CH62/'Total Doctorates'!AK62)*100</f>
        <v>54.54545454545454</v>
      </c>
      <c r="AK61" s="109">
        <f>(Gender!CI62/'Total Doctorates'!AL62)*100</f>
        <v>59.677419354838712</v>
      </c>
      <c r="AL61" s="109">
        <f>(Gender!CJ62/'Total Doctorates'!AM62)*100</f>
        <v>50</v>
      </c>
      <c r="AM61" s="109">
        <f>(Gender!CK62/'Total Doctorates'!AN62)*100</f>
        <v>40</v>
      </c>
      <c r="AN61" s="109">
        <f>(Gender!CL62/'Total Doctorates'!AO62)*100</f>
        <v>62.921348314606739</v>
      </c>
      <c r="AO61" s="109">
        <f>(Gender!CM62/'Total Doctorates'!AP62)*100</f>
        <v>61.53846153846154</v>
      </c>
      <c r="AP61" s="109">
        <f>(Gender!CN62/'Total Doctorates'!AQ62)*100</f>
        <v>59.740259740259738</v>
      </c>
      <c r="AQ61" s="109">
        <f>(Gender!CO62/'Total Doctorates'!AR62)*100</f>
        <v>43.103448275862064</v>
      </c>
      <c r="AR61" s="109">
        <f>(Gender!CP62/'Total Doctorates'!AS62)*100</f>
        <v>46.875</v>
      </c>
      <c r="AS61" s="109">
        <f>(Gender!CQ62/'Total Doctorates'!AT62)*100</f>
        <v>58.620689655172406</v>
      </c>
      <c r="AT61" s="109">
        <f>(Gender!CR62/'Total Doctorates'!AU62)*100</f>
        <v>53.846153846153847</v>
      </c>
      <c r="AU61" s="109">
        <f>(Gender!CS62/'Total Doctorates'!AV62)*100</f>
        <v>48.837209302325576</v>
      </c>
      <c r="AV61" s="109">
        <f>(Gender!CT62/'Total Doctorates'!AW62)*100</f>
        <v>46.511627906976742</v>
      </c>
      <c r="AW61" s="109">
        <f>(Gender!CU62/'Total Doctorates'!AX62)*100</f>
        <v>51.315789473684212</v>
      </c>
      <c r="AX61" s="109">
        <f>(Gender!CV62/'Total Doctorates'!AY62)*100</f>
        <v>51.428571428571423</v>
      </c>
      <c r="AY61" s="109">
        <f>(Gender!CW62/'Total Doctorates'!AZ62)*100</f>
        <v>50.943396226415096</v>
      </c>
    </row>
    <row r="62" spans="1:51">
      <c r="A62" s="45" t="s">
        <v>130</v>
      </c>
      <c r="B62" s="107">
        <f>(Gender!AZ63/'Total Doctorates'!C63)*100</f>
        <v>20.682730923694777</v>
      </c>
      <c r="C62" s="107">
        <f>(Gender!BA63/'Total Doctorates'!D63)*100</f>
        <v>20.659722222222221</v>
      </c>
      <c r="D62" s="107">
        <f>(Gender!BB63/'Total Doctorates'!E63)*100</f>
        <v>18.050541516245488</v>
      </c>
      <c r="E62" s="107">
        <f>(Gender!BC63/'Total Doctorates'!F63)*100</f>
        <v>21.164021164021165</v>
      </c>
      <c r="F62" s="107">
        <f>(Gender!BD63/'Total Doctorates'!G63)*100</f>
        <v>23.255813953488371</v>
      </c>
      <c r="G62" s="107">
        <f>(Gender!BE63/'Total Doctorates'!H63)*100</f>
        <v>26.23239436619718</v>
      </c>
      <c r="H62" s="107">
        <f>(Gender!BF63/'Total Doctorates'!I63)*100</f>
        <v>28.053435114503817</v>
      </c>
      <c r="I62" s="107">
        <f>(Gender!BG63/'Total Doctorates'!J63)*100</f>
        <v>33.996383363471971</v>
      </c>
      <c r="J62" s="107">
        <f>(Gender!BH63/'Total Doctorates'!K63)*100</f>
        <v>28.180039138943247</v>
      </c>
      <c r="K62" s="107">
        <f>(Gender!BI63/'Total Doctorates'!L63)*100</f>
        <v>33.203125</v>
      </c>
      <c r="L62" s="107">
        <f>(Gender!BJ63/'Total Doctorates'!M63)*100</f>
        <v>34.907597535934293</v>
      </c>
      <c r="M62" s="107">
        <f>(Gender!BK63/'Total Doctorates'!N63)*100</f>
        <v>39.813084112149532</v>
      </c>
      <c r="N62" s="107">
        <f>(Gender!BL63/'Total Doctorates'!O63)*100</f>
        <v>39.208633093525179</v>
      </c>
      <c r="O62" s="107">
        <f>(Gender!BM63/'Total Doctorates'!P63)*100</f>
        <v>37.828371278458846</v>
      </c>
      <c r="P62" s="107">
        <f>(Gender!BN63/'Total Doctorates'!Q63)*100</f>
        <v>42.372881355932201</v>
      </c>
      <c r="Q62" s="107">
        <f>(Gender!BO63/'Total Doctorates'!R63)*100</f>
        <v>40.425531914893611</v>
      </c>
      <c r="R62" s="107">
        <f>(Gender!BP63/'Total Doctorates'!S63)*100</f>
        <v>44.60431654676259</v>
      </c>
      <c r="S62" s="107">
        <f>(Gender!BQ63/'Total Doctorates'!T63)*100</f>
        <v>42.736842105263158</v>
      </c>
      <c r="T62" s="107">
        <f>(Gender!BR63/'Total Doctorates'!U63)*100</f>
        <v>41.512915129151288</v>
      </c>
      <c r="U62" s="107">
        <f>(Gender!BS63/'Total Doctorates'!V63)*100</f>
        <v>43.538767395626245</v>
      </c>
      <c r="V62" s="107">
        <f>(Gender!BT63/'Total Doctorates'!W63)*100</f>
        <v>42.407407407407405</v>
      </c>
      <c r="W62" s="107">
        <f>(Gender!BU63/'Total Doctorates'!X63)*100</f>
        <v>43.421052631578952</v>
      </c>
      <c r="X62" s="107">
        <f>(Gender!BV63/'Total Doctorates'!Y63)*100</f>
        <v>41.860465116279073</v>
      </c>
      <c r="Y62" s="107">
        <f>(Gender!BW63/'Total Doctorates'!Z63)*100</f>
        <v>45.729537366548044</v>
      </c>
      <c r="Z62" s="107">
        <f>(Gender!BX63/'Total Doctorates'!AA63)*100</f>
        <v>48.261758691206545</v>
      </c>
      <c r="AA62" s="107">
        <f>(Gender!BY63/'Total Doctorates'!AB63)*100</f>
        <v>42.827004219409282</v>
      </c>
      <c r="AB62" s="107">
        <f>(Gender!BZ63/'Total Doctorates'!AC63)*100</f>
        <v>43.155893536121674</v>
      </c>
      <c r="AC62" s="107">
        <f>(Gender!CA63/'Total Doctorates'!AD63)*100</f>
        <v>46.368715083798882</v>
      </c>
      <c r="AD62" s="107">
        <f>(Gender!CB63/'Total Doctorates'!AE63)*100</f>
        <v>50</v>
      </c>
      <c r="AE62" s="107">
        <f>(Gender!CC63/'Total Doctorates'!AF63)*100</f>
        <v>47.31800766283525</v>
      </c>
      <c r="AF62" s="107">
        <f>(Gender!CD63/'Total Doctorates'!AG63)*100</f>
        <v>49.585406301824214</v>
      </c>
      <c r="AG62" s="107">
        <f>(Gender!CE63/'Total Doctorates'!AH63)*100</f>
        <v>50.094876660341555</v>
      </c>
      <c r="AH62" s="107">
        <f>(Gender!CF63/'Total Doctorates'!AI63)*100</f>
        <v>52.865064695009245</v>
      </c>
      <c r="AI62" s="107">
        <f>(Gender!CG63/'Total Doctorates'!AJ63)*100</f>
        <v>58.203799654576862</v>
      </c>
      <c r="AJ62" s="107">
        <f>(Gender!CH63/'Total Doctorates'!AK63)*100</f>
        <v>54.513888888888886</v>
      </c>
      <c r="AK62" s="107">
        <f>(Gender!CI63/'Total Doctorates'!AL63)*100</f>
        <v>56.769983686786297</v>
      </c>
      <c r="AL62" s="107">
        <f>(Gender!CJ63/'Total Doctorates'!AM63)*100</f>
        <v>56.850393700787407</v>
      </c>
      <c r="AM62" s="107">
        <f>(Gender!CK63/'Total Doctorates'!AN63)*100</f>
        <v>55.414012738853501</v>
      </c>
      <c r="AN62" s="107">
        <f>(Gender!CL63/'Total Doctorates'!AO63)*100</f>
        <v>54.874213836477992</v>
      </c>
      <c r="AO62" s="107">
        <f>(Gender!CM63/'Total Doctorates'!AP63)*100</f>
        <v>55.043227665706048</v>
      </c>
      <c r="AP62" s="107">
        <f>(Gender!CN63/'Total Doctorates'!AQ63)*100</f>
        <v>55.791505791505791</v>
      </c>
      <c r="AQ62" s="107">
        <f>(Gender!CO63/'Total Doctorates'!AR63)*100</f>
        <v>53.34538878842676</v>
      </c>
      <c r="AR62" s="107">
        <f>(Gender!CP63/'Total Doctorates'!AS63)*100</f>
        <v>54.045307443365701</v>
      </c>
      <c r="AS62" s="107">
        <f>(Gender!CQ63/'Total Doctorates'!AT63)*100</f>
        <v>54.173228346456689</v>
      </c>
      <c r="AT62" s="107">
        <f>(Gender!CR63/'Total Doctorates'!AU63)*100</f>
        <v>53.941267387944357</v>
      </c>
      <c r="AU62" s="107">
        <f>(Gender!CS63/'Total Doctorates'!AV63)*100</f>
        <v>54.67289719626168</v>
      </c>
      <c r="AV62" s="107">
        <f>(Gender!CT63/'Total Doctorates'!AW63)*100</f>
        <v>53.892215568862277</v>
      </c>
      <c r="AW62" s="107">
        <f>(Gender!CU63/'Total Doctorates'!AX63)*100</f>
        <v>54.073033707865171</v>
      </c>
      <c r="AX62" s="107">
        <f>(Gender!CV63/'Total Doctorates'!AY63)*100</f>
        <v>52.547307132459977</v>
      </c>
      <c r="AY62" s="107">
        <f>(Gender!CW63/'Total Doctorates'!AZ63)*100</f>
        <v>54.328358208955216</v>
      </c>
    </row>
  </sheetData>
  <phoneticPr fontId="8" type="noConversion"/>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C9207C4D8AB6E4A9864D320D8693611" ma:contentTypeVersion="11" ma:contentTypeDescription="Create a new document." ma:contentTypeScope="" ma:versionID="1ae8a50db7085f5ae1dcf34ff77a61f1">
  <xsd:schema xmlns:xsd="http://www.w3.org/2001/XMLSchema" xmlns:xs="http://www.w3.org/2001/XMLSchema" xmlns:p="http://schemas.microsoft.com/office/2006/metadata/properties" xmlns:ns2="d3553cee-4ecc-4eb5-80d8-f24f98131822" xmlns:ns3="fc2f2499-f938-4cc0-a2cd-f3e7b3a200ae" targetNamespace="http://schemas.microsoft.com/office/2006/metadata/properties" ma:root="true" ma:fieldsID="17b6e3ff09c248479d51477e5c5657c0" ns2:_="" ns3:_="">
    <xsd:import namespace="d3553cee-4ecc-4eb5-80d8-f24f98131822"/>
    <xsd:import namespace="fc2f2499-f938-4cc0-a2cd-f3e7b3a200a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553cee-4ecc-4eb5-80d8-f24f981318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c2f2499-f938-4cc0-a2cd-f3e7b3a200a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473250F-660B-43A0-95BC-3E2A3B4EED07}">
  <ds:schemaRefs>
    <ds:schemaRef ds:uri="fc2f2499-f938-4cc0-a2cd-f3e7b3a200ae"/>
    <ds:schemaRef ds:uri="http://www.w3.org/XML/1998/namespace"/>
    <ds:schemaRef ds:uri="d3553cee-4ecc-4eb5-80d8-f24f98131822"/>
    <ds:schemaRef ds:uri="http://schemas.microsoft.com/office/2006/documentManagement/types"/>
    <ds:schemaRef ds:uri="http://purl.org/dc/dcmitype/"/>
    <ds:schemaRef ds:uri="http://purl.org/dc/elements/1.1/"/>
    <ds:schemaRef ds:uri="http://schemas.microsoft.com/office/infopath/2007/PartnerControls"/>
    <ds:schemaRef ds:uri="http://purl.org/dc/term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0C380E74-43EE-4381-A86F-0315F2C31F66}">
  <ds:schemaRefs>
    <ds:schemaRef ds:uri="http://schemas.microsoft.com/sharepoint/v3/contenttype/forms"/>
  </ds:schemaRefs>
</ds:datastoreItem>
</file>

<file path=customXml/itemProps3.xml><?xml version="1.0" encoding="utf-8"?>
<ds:datastoreItem xmlns:ds="http://schemas.openxmlformats.org/officeDocument/2006/customXml" ds:itemID="{B79E480B-51C8-4C2C-B049-3D56A8CB03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553cee-4ecc-4eb5-80d8-f24f98131822"/>
    <ds:schemaRef ds:uri="fc2f2499-f938-4cc0-a2cd-f3e7b3a200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TABLE 57</vt:lpstr>
      <vt:lpstr>Total Doctorates</vt:lpstr>
      <vt:lpstr>Public</vt:lpstr>
      <vt:lpstr>Gender</vt:lpstr>
      <vt:lpstr>all race</vt:lpstr>
      <vt:lpstr>black</vt:lpstr>
      <vt:lpstr>Hispanic &amp; Non-resident</vt:lpstr>
      <vt:lpstr>Women as a % of Total</vt:lpstr>
      <vt:lpstr>DATA</vt:lpstr>
      <vt:lpstr>'TABLE 57'!Print_Area</vt:lpstr>
      <vt:lpstr>'TABLE 57'!TABLE</vt:lpstr>
    </vt:vector>
  </TitlesOfParts>
  <Company>SREB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Cowan</dc:creator>
  <cp:lastModifiedBy>Christiana Datubo-Brown</cp:lastModifiedBy>
  <cp:lastPrinted>2013-04-19T17:30:59Z</cp:lastPrinted>
  <dcterms:created xsi:type="dcterms:W3CDTF">1999-04-13T19:03:38Z</dcterms:created>
  <dcterms:modified xsi:type="dcterms:W3CDTF">2021-10-22T03:41:58Z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0260771-a9fd-4aa8-a138-a40ac53a5467_Enabled">
    <vt:lpwstr>True</vt:lpwstr>
  </property>
  <property fmtid="{D5CDD505-2E9C-101B-9397-08002B2CF9AE}" pid="3" name="MSIP_Label_00260771-a9fd-4aa8-a138-a40ac53a5467_SiteId">
    <vt:lpwstr>eb20950b-168c-497a-9845-2b099844f3ef</vt:lpwstr>
  </property>
  <property fmtid="{D5CDD505-2E9C-101B-9397-08002B2CF9AE}" pid="4" name="MSIP_Label_00260771-a9fd-4aa8-a138-a40ac53a5467_Owner">
    <vt:lpwstr>susan.lounsbury@SREB.ORG</vt:lpwstr>
  </property>
  <property fmtid="{D5CDD505-2E9C-101B-9397-08002B2CF9AE}" pid="5" name="MSIP_Label_00260771-a9fd-4aa8-a138-a40ac53a5467_SetDate">
    <vt:lpwstr>2019-04-11T22:08:21.2156842Z</vt:lpwstr>
  </property>
  <property fmtid="{D5CDD505-2E9C-101B-9397-08002B2CF9AE}" pid="6" name="MSIP_Label_00260771-a9fd-4aa8-a138-a40ac53a5467_Name">
    <vt:lpwstr>General</vt:lpwstr>
  </property>
  <property fmtid="{D5CDD505-2E9C-101B-9397-08002B2CF9AE}" pid="7" name="MSIP_Label_00260771-a9fd-4aa8-a138-a40ac53a5467_Application">
    <vt:lpwstr>Microsoft Azure Information Protection</vt:lpwstr>
  </property>
  <property fmtid="{D5CDD505-2E9C-101B-9397-08002B2CF9AE}" pid="8" name="MSIP_Label_00260771-a9fd-4aa8-a138-a40ac53a5467_Extended_MSFT_Method">
    <vt:lpwstr>Automatic</vt:lpwstr>
  </property>
  <property fmtid="{D5CDD505-2E9C-101B-9397-08002B2CF9AE}" pid="9" name="Sensitivity">
    <vt:lpwstr>General</vt:lpwstr>
  </property>
  <property fmtid="{D5CDD505-2E9C-101B-9397-08002B2CF9AE}" pid="10" name="ContentTypeId">
    <vt:lpwstr>0x0101008C9207C4D8AB6E4A9864D320D8693611</vt:lpwstr>
  </property>
</Properties>
</file>