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6_RevsExpends/"/>
    </mc:Choice>
  </mc:AlternateContent>
  <xr:revisionPtr revIDLastSave="639" documentId="8_{E6952E9A-454B-425F-BB61-3A4E67B403DD}" xr6:coauthVersionLast="47" xr6:coauthVersionMax="47" xr10:uidLastSave="{F9B39368-766F-4478-BD8B-439E7DC7D61B}"/>
  <bookViews>
    <workbookView xWindow="28680" yWindow="4755" windowWidth="29040" windowHeight="15840" tabRatio="766" activeTab="1" xr2:uid="{00000000-000D-0000-FFFF-FFFF00000000}"/>
  </bookViews>
  <sheets>
    <sheet name="TABLE 94" sheetId="16" r:id="rId1"/>
    <sheet name="TABLE 95" sheetId="17" r:id="rId2"/>
    <sheet name="Total E&amp;G-4yr" sheetId="13" r:id="rId3"/>
    <sheet name="Total E&amp;G-2Yr" sheetId="26" r:id="rId4"/>
    <sheet name="Tuition-4Yr" sheetId="1" r:id="rId5"/>
    <sheet name="Local Appropriations-4Yr" sheetId="3" r:id="rId6"/>
    <sheet name="State Appropriations-4Yr" sheetId="2" r:id="rId7"/>
    <sheet name="Fed Contracts Grnts-4Yr" sheetId="4" r:id="rId8"/>
    <sheet name="Other Contract Grnts-4Yr" sheetId="5" r:id="rId9"/>
    <sheet name="Investment Income-4Yr" sheetId="9" r:id="rId10"/>
    <sheet name="All Other E&amp;G-4Yr" sheetId="10" r:id="rId11"/>
    <sheet name="Tuition-2Yr" sheetId="18" r:id="rId12"/>
    <sheet name="State Appropriations-2Yr" sheetId="19" r:id="rId13"/>
    <sheet name="Local Appropriations-2Yr" sheetId="20" r:id="rId14"/>
    <sheet name="Fed Contracts Grnts-2Yr" sheetId="21" r:id="rId15"/>
    <sheet name="Other Contracts Grnts-2Yr" sheetId="22" r:id="rId16"/>
    <sheet name="Investment Income-2Yr" sheetId="24" r:id="rId17"/>
    <sheet name="All Other E&amp;G-2Yr" sheetId="25" r:id="rId18"/>
    <sheet name="Sheet1" sheetId="27" r:id="rId19"/>
  </sheets>
  <definedNames>
    <definedName name="A">'Tuition-4Yr'!#REF!</definedName>
    <definedName name="DATA">'Tuition-4Yr'!$A$1</definedName>
    <definedName name="_xlnm.Print_Area" localSheetId="0">'TABLE 94'!$A$1:$N$74</definedName>
    <definedName name="_xlnm.Print_Area" localSheetId="1">'TABLE 95'!$A$1:$N$75</definedName>
    <definedName name="T_76">#REF!</definedName>
    <definedName name="T_78">'TABLE 94'!$A$1:$Q$29</definedName>
    <definedName name="T_79">'TABLE 95'!$A$1:$N$73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7" l="1"/>
  <c r="R33" i="17"/>
  <c r="R34" i="17"/>
  <c r="R14" i="17"/>
  <c r="R15" i="17"/>
  <c r="R16" i="17"/>
  <c r="R17" i="17"/>
  <c r="R18" i="17"/>
  <c r="K18" i="17" s="1"/>
  <c r="R19" i="17"/>
  <c r="R20" i="17"/>
  <c r="R21" i="17"/>
  <c r="K21" i="17" s="1"/>
  <c r="R22" i="17"/>
  <c r="R23" i="17"/>
  <c r="K23" i="17" s="1"/>
  <c r="R24" i="17"/>
  <c r="R25" i="17"/>
  <c r="R26" i="17"/>
  <c r="R27" i="17"/>
  <c r="R37" i="17"/>
  <c r="R28" i="17"/>
  <c r="K28" i="17" s="1"/>
  <c r="E67" i="17"/>
  <c r="E66" i="17"/>
  <c r="E65" i="17"/>
  <c r="E64" i="17"/>
  <c r="E63" i="17"/>
  <c r="E62" i="17"/>
  <c r="K62" i="17" s="1"/>
  <c r="E61" i="17"/>
  <c r="E60" i="17"/>
  <c r="K60" i="17" s="1"/>
  <c r="E59" i="17"/>
  <c r="E57" i="17"/>
  <c r="E56" i="17"/>
  <c r="E55" i="17"/>
  <c r="E54" i="17"/>
  <c r="E53" i="17"/>
  <c r="K53" i="17" s="1"/>
  <c r="E52" i="17"/>
  <c r="E51" i="17"/>
  <c r="K51" i="17" s="1"/>
  <c r="E50" i="17"/>
  <c r="E49" i="17"/>
  <c r="E48" i="17"/>
  <c r="E47" i="17"/>
  <c r="E46" i="17"/>
  <c r="E45" i="17"/>
  <c r="K45" i="17" s="1"/>
  <c r="E43" i="17"/>
  <c r="E42" i="17"/>
  <c r="K42" i="17" s="1"/>
  <c r="E41" i="17"/>
  <c r="E40" i="17"/>
  <c r="E39" i="17"/>
  <c r="E38" i="17"/>
  <c r="E37" i="17"/>
  <c r="E36" i="17"/>
  <c r="K36" i="17" s="1"/>
  <c r="E35" i="17"/>
  <c r="E34" i="17"/>
  <c r="E33" i="17"/>
  <c r="E32" i="17"/>
  <c r="K32" i="17" s="1"/>
  <c r="E31" i="17"/>
  <c r="E30" i="17"/>
  <c r="E28" i="17"/>
  <c r="E27" i="17"/>
  <c r="K27" i="17" s="1"/>
  <c r="E26" i="17"/>
  <c r="E25" i="17"/>
  <c r="K25" i="17" s="1"/>
  <c r="E24" i="17"/>
  <c r="E23" i="17"/>
  <c r="E22" i="17"/>
  <c r="E21" i="17"/>
  <c r="E20" i="17"/>
  <c r="E19" i="17"/>
  <c r="K19" i="17" s="1"/>
  <c r="E18" i="17"/>
  <c r="E17" i="17"/>
  <c r="K17" i="17" s="1"/>
  <c r="E16" i="17"/>
  <c r="E15" i="17"/>
  <c r="E14" i="17"/>
  <c r="E13" i="17"/>
  <c r="E12" i="17"/>
  <c r="E10" i="17"/>
  <c r="K10" i="17" s="1"/>
  <c r="E9" i="17"/>
  <c r="K66" i="17"/>
  <c r="K63" i="17"/>
  <c r="K59" i="17"/>
  <c r="K57" i="17"/>
  <c r="K50" i="17"/>
  <c r="K46" i="17"/>
  <c r="K41" i="17"/>
  <c r="K40" i="17"/>
  <c r="K33" i="17"/>
  <c r="K24" i="17"/>
  <c r="K12" i="17"/>
  <c r="K64" i="17"/>
  <c r="K49" i="17"/>
  <c r="K38" i="17"/>
  <c r="K15" i="17"/>
  <c r="K13" i="17"/>
  <c r="K67" i="17"/>
  <c r="K14" i="17"/>
  <c r="N67" i="17"/>
  <c r="M67" i="17"/>
  <c r="L67" i="17"/>
  <c r="J67" i="17"/>
  <c r="I67" i="17"/>
  <c r="N66" i="17"/>
  <c r="M66" i="17"/>
  <c r="L66" i="17"/>
  <c r="J66" i="17"/>
  <c r="I66" i="17"/>
  <c r="N65" i="17"/>
  <c r="M65" i="17"/>
  <c r="L65" i="17"/>
  <c r="K65" i="17"/>
  <c r="J65" i="17"/>
  <c r="I65" i="17"/>
  <c r="N64" i="17"/>
  <c r="M64" i="17"/>
  <c r="L64" i="17"/>
  <c r="J64" i="17"/>
  <c r="I64" i="17"/>
  <c r="N63" i="17"/>
  <c r="M63" i="17"/>
  <c r="L63" i="17"/>
  <c r="J63" i="17"/>
  <c r="I63" i="17"/>
  <c r="N62" i="17"/>
  <c r="M62" i="17"/>
  <c r="L62" i="17"/>
  <c r="J62" i="17"/>
  <c r="I62" i="17"/>
  <c r="N61" i="17"/>
  <c r="M61" i="17"/>
  <c r="L61" i="17"/>
  <c r="K61" i="17"/>
  <c r="J61" i="17"/>
  <c r="I61" i="17"/>
  <c r="N60" i="17"/>
  <c r="M60" i="17"/>
  <c r="L60" i="17"/>
  <c r="J60" i="17"/>
  <c r="I60" i="17"/>
  <c r="N59" i="17"/>
  <c r="M59" i="17"/>
  <c r="L59" i="17"/>
  <c r="J59" i="17"/>
  <c r="I59" i="17"/>
  <c r="N57" i="17"/>
  <c r="M57" i="17"/>
  <c r="L57" i="17"/>
  <c r="J57" i="17"/>
  <c r="I57" i="17"/>
  <c r="N56" i="17"/>
  <c r="M56" i="17"/>
  <c r="L56" i="17"/>
  <c r="K56" i="17"/>
  <c r="J56" i="17"/>
  <c r="I56" i="17"/>
  <c r="N55" i="17"/>
  <c r="M55" i="17"/>
  <c r="L55" i="17"/>
  <c r="K55" i="17"/>
  <c r="J55" i="17"/>
  <c r="I55" i="17"/>
  <c r="N54" i="17"/>
  <c r="M54" i="17"/>
  <c r="L54" i="17"/>
  <c r="K54" i="17"/>
  <c r="J54" i="17"/>
  <c r="I54" i="17"/>
  <c r="N53" i="17"/>
  <c r="M53" i="17"/>
  <c r="L53" i="17"/>
  <c r="J53" i="17"/>
  <c r="I53" i="17"/>
  <c r="N52" i="17"/>
  <c r="M52" i="17"/>
  <c r="L52" i="17"/>
  <c r="K52" i="17"/>
  <c r="J52" i="17"/>
  <c r="I52" i="17"/>
  <c r="N51" i="17"/>
  <c r="M51" i="17"/>
  <c r="L51" i="17"/>
  <c r="J51" i="17"/>
  <c r="I51" i="17"/>
  <c r="N50" i="17"/>
  <c r="M50" i="17"/>
  <c r="L50" i="17"/>
  <c r="J50" i="17"/>
  <c r="I50" i="17"/>
  <c r="N49" i="17"/>
  <c r="M49" i="17"/>
  <c r="L49" i="17"/>
  <c r="J49" i="17"/>
  <c r="I49" i="17"/>
  <c r="N48" i="17"/>
  <c r="M48" i="17"/>
  <c r="L48" i="17"/>
  <c r="K48" i="17"/>
  <c r="J48" i="17"/>
  <c r="I48" i="17"/>
  <c r="N47" i="17"/>
  <c r="M47" i="17"/>
  <c r="L47" i="17"/>
  <c r="K47" i="17"/>
  <c r="J47" i="17"/>
  <c r="I47" i="17"/>
  <c r="N46" i="17"/>
  <c r="M46" i="17"/>
  <c r="L46" i="17"/>
  <c r="J46" i="17"/>
  <c r="I46" i="17"/>
  <c r="N45" i="17"/>
  <c r="M45" i="17"/>
  <c r="L45" i="17"/>
  <c r="J45" i="17"/>
  <c r="I45" i="17"/>
  <c r="N43" i="17"/>
  <c r="M43" i="17"/>
  <c r="L43" i="17"/>
  <c r="K43" i="17"/>
  <c r="J43" i="17"/>
  <c r="I43" i="17"/>
  <c r="N42" i="17"/>
  <c r="M42" i="17"/>
  <c r="L42" i="17"/>
  <c r="J42" i="17"/>
  <c r="I42" i="17"/>
  <c r="N41" i="17"/>
  <c r="M41" i="17"/>
  <c r="L41" i="17"/>
  <c r="J41" i="17"/>
  <c r="I41" i="17"/>
  <c r="N40" i="17"/>
  <c r="M40" i="17"/>
  <c r="L40" i="17"/>
  <c r="J40" i="17"/>
  <c r="I40" i="17"/>
  <c r="N39" i="17"/>
  <c r="M39" i="17"/>
  <c r="L39" i="17"/>
  <c r="K39" i="17"/>
  <c r="J39" i="17"/>
  <c r="I39" i="17"/>
  <c r="N38" i="17"/>
  <c r="M38" i="17"/>
  <c r="L38" i="17"/>
  <c r="J38" i="17"/>
  <c r="I38" i="17"/>
  <c r="N37" i="17"/>
  <c r="M37" i="17"/>
  <c r="L37" i="17"/>
  <c r="K37" i="17"/>
  <c r="J37" i="17"/>
  <c r="I37" i="17"/>
  <c r="N36" i="17"/>
  <c r="M36" i="17"/>
  <c r="L36" i="17"/>
  <c r="J36" i="17"/>
  <c r="I36" i="17"/>
  <c r="N35" i="17"/>
  <c r="M35" i="17"/>
  <c r="L35" i="17"/>
  <c r="K35" i="17"/>
  <c r="J35" i="17"/>
  <c r="I35" i="17"/>
  <c r="N34" i="17"/>
  <c r="M34" i="17"/>
  <c r="L34" i="17"/>
  <c r="J34" i="17"/>
  <c r="I34" i="17"/>
  <c r="N33" i="17"/>
  <c r="M33" i="17"/>
  <c r="L33" i="17"/>
  <c r="J33" i="17"/>
  <c r="I33" i="17"/>
  <c r="N32" i="17"/>
  <c r="M32" i="17"/>
  <c r="L32" i="17"/>
  <c r="J32" i="17"/>
  <c r="I32" i="17"/>
  <c r="N31" i="17"/>
  <c r="M31" i="17"/>
  <c r="L31" i="17"/>
  <c r="K31" i="17"/>
  <c r="J31" i="17"/>
  <c r="I31" i="17"/>
  <c r="N28" i="17"/>
  <c r="M28" i="17"/>
  <c r="L28" i="17"/>
  <c r="J28" i="17"/>
  <c r="I28" i="17"/>
  <c r="N27" i="17"/>
  <c r="M27" i="17"/>
  <c r="L27" i="17"/>
  <c r="J27" i="17"/>
  <c r="I27" i="17"/>
  <c r="N26" i="17"/>
  <c r="M26" i="17"/>
  <c r="L26" i="17"/>
  <c r="K26" i="17"/>
  <c r="J26" i="17"/>
  <c r="I26" i="17"/>
  <c r="N25" i="17"/>
  <c r="M25" i="17"/>
  <c r="L25" i="17"/>
  <c r="J25" i="17"/>
  <c r="I25" i="17"/>
  <c r="N24" i="17"/>
  <c r="M24" i="17"/>
  <c r="L24" i="17"/>
  <c r="J24" i="17"/>
  <c r="I24" i="17"/>
  <c r="N23" i="17"/>
  <c r="M23" i="17"/>
  <c r="L23" i="17"/>
  <c r="J23" i="17"/>
  <c r="I23" i="17"/>
  <c r="N22" i="17"/>
  <c r="M22" i="17"/>
  <c r="L22" i="17"/>
  <c r="K22" i="17"/>
  <c r="J22" i="17"/>
  <c r="I22" i="17"/>
  <c r="N21" i="17"/>
  <c r="M21" i="17"/>
  <c r="L21" i="17"/>
  <c r="J21" i="17"/>
  <c r="I21" i="17"/>
  <c r="N20" i="17"/>
  <c r="M20" i="17"/>
  <c r="L20" i="17"/>
  <c r="K20" i="17"/>
  <c r="J20" i="17"/>
  <c r="I20" i="17"/>
  <c r="N19" i="17"/>
  <c r="M19" i="17"/>
  <c r="L19" i="17"/>
  <c r="J19" i="17"/>
  <c r="I19" i="17"/>
  <c r="N18" i="17"/>
  <c r="M18" i="17"/>
  <c r="L18" i="17"/>
  <c r="J18" i="17"/>
  <c r="I18" i="17"/>
  <c r="N17" i="17"/>
  <c r="M17" i="17"/>
  <c r="L17" i="17"/>
  <c r="J17" i="17"/>
  <c r="I17" i="17"/>
  <c r="N16" i="17"/>
  <c r="M16" i="17"/>
  <c r="L16" i="17"/>
  <c r="J16" i="17"/>
  <c r="I16" i="17"/>
  <c r="N15" i="17"/>
  <c r="M15" i="17"/>
  <c r="L15" i="17"/>
  <c r="J15" i="17"/>
  <c r="I15" i="17"/>
  <c r="N14" i="17"/>
  <c r="M14" i="17"/>
  <c r="L14" i="17"/>
  <c r="J14" i="17"/>
  <c r="I14" i="17"/>
  <c r="N13" i="17"/>
  <c r="M13" i="17"/>
  <c r="L13" i="17"/>
  <c r="J13" i="17"/>
  <c r="I13" i="17"/>
  <c r="N12" i="17"/>
  <c r="M12" i="17"/>
  <c r="L12" i="17"/>
  <c r="J12" i="17"/>
  <c r="I12" i="17"/>
  <c r="N10" i="17"/>
  <c r="M10" i="17"/>
  <c r="L10" i="17"/>
  <c r="J10" i="17"/>
  <c r="I10" i="17"/>
  <c r="N9" i="17"/>
  <c r="M9" i="17"/>
  <c r="L9" i="17"/>
  <c r="K9" i="17"/>
  <c r="J9" i="17"/>
  <c r="I9" i="17"/>
  <c r="U68" i="17"/>
  <c r="R68" i="17"/>
  <c r="U67" i="17"/>
  <c r="R67" i="17"/>
  <c r="U66" i="17"/>
  <c r="R66" i="17"/>
  <c r="U65" i="17"/>
  <c r="R65" i="17"/>
  <c r="U64" i="17"/>
  <c r="R64" i="17"/>
  <c r="U63" i="17"/>
  <c r="R63" i="17"/>
  <c r="U62" i="17"/>
  <c r="R62" i="17"/>
  <c r="U61" i="17"/>
  <c r="R61" i="17"/>
  <c r="U60" i="17"/>
  <c r="R60" i="17"/>
  <c r="U59" i="17"/>
  <c r="R59" i="17"/>
  <c r="U57" i="17"/>
  <c r="R57" i="17"/>
  <c r="U56" i="17"/>
  <c r="R56" i="17"/>
  <c r="U55" i="17"/>
  <c r="R55" i="17"/>
  <c r="U54" i="17"/>
  <c r="R54" i="17"/>
  <c r="U53" i="17"/>
  <c r="R53" i="17"/>
  <c r="U52" i="17"/>
  <c r="R52" i="17"/>
  <c r="U51" i="17"/>
  <c r="R51" i="17"/>
  <c r="U50" i="17"/>
  <c r="R50" i="17"/>
  <c r="U49" i="17"/>
  <c r="R49" i="17"/>
  <c r="U48" i="17"/>
  <c r="R48" i="17"/>
  <c r="U47" i="17"/>
  <c r="R47" i="17"/>
  <c r="U46" i="17"/>
  <c r="R46" i="17"/>
  <c r="U45" i="17"/>
  <c r="R45" i="17"/>
  <c r="U43" i="17"/>
  <c r="R43" i="17"/>
  <c r="U42" i="17"/>
  <c r="R42" i="17"/>
  <c r="U41" i="17"/>
  <c r="R41" i="17"/>
  <c r="U40" i="17"/>
  <c r="R40" i="17"/>
  <c r="U39" i="17"/>
  <c r="R39" i="17"/>
  <c r="U38" i="17"/>
  <c r="R38" i="17"/>
  <c r="U37" i="17"/>
  <c r="U36" i="17"/>
  <c r="R36" i="17"/>
  <c r="U35" i="17"/>
  <c r="R35" i="17"/>
  <c r="U34" i="17"/>
  <c r="U33" i="17"/>
  <c r="U32" i="17"/>
  <c r="U31" i="17"/>
  <c r="R31" i="17"/>
  <c r="U30" i="17"/>
  <c r="R30" i="17"/>
  <c r="U28" i="17"/>
  <c r="U27" i="17"/>
  <c r="U26" i="17"/>
  <c r="U25" i="17"/>
  <c r="U24" i="17"/>
  <c r="U23" i="17"/>
  <c r="U22" i="17"/>
  <c r="U21" i="17"/>
  <c r="U20" i="17"/>
  <c r="U19" i="17"/>
  <c r="U18" i="17"/>
  <c r="U17" i="17"/>
  <c r="U16" i="17"/>
  <c r="U15" i="17"/>
  <c r="U14" i="17"/>
  <c r="U13" i="17"/>
  <c r="R13" i="17"/>
  <c r="U12" i="17"/>
  <c r="R12" i="17"/>
  <c r="U10" i="17"/>
  <c r="R10" i="17"/>
  <c r="U9" i="17"/>
  <c r="R9" i="17"/>
  <c r="K34" i="17" l="1"/>
  <c r="K16" i="17"/>
  <c r="R69" i="16"/>
  <c r="R68" i="16"/>
  <c r="R67" i="16"/>
  <c r="R66" i="16"/>
  <c r="R65" i="16"/>
  <c r="R64" i="16"/>
  <c r="R63" i="16"/>
  <c r="R62" i="16"/>
  <c r="R61" i="16"/>
  <c r="R60" i="16"/>
  <c r="R58" i="16"/>
  <c r="R57" i="16"/>
  <c r="R56" i="16"/>
  <c r="R55" i="16"/>
  <c r="R54" i="16"/>
  <c r="R53" i="16"/>
  <c r="R52" i="16"/>
  <c r="R51" i="16"/>
  <c r="R50" i="16"/>
  <c r="R49" i="16"/>
  <c r="R48" i="16"/>
  <c r="R47" i="16"/>
  <c r="R46" i="16"/>
  <c r="R44" i="16"/>
  <c r="R43" i="16"/>
  <c r="R42" i="16"/>
  <c r="R41" i="16"/>
  <c r="R40" i="16"/>
  <c r="R39" i="16"/>
  <c r="R38" i="16"/>
  <c r="R37" i="16"/>
  <c r="R36" i="16"/>
  <c r="R35" i="16"/>
  <c r="R34" i="16"/>
  <c r="R33" i="16"/>
  <c r="R32" i="16"/>
  <c r="R31" i="16"/>
  <c r="R29" i="16"/>
  <c r="R28" i="16"/>
  <c r="R27" i="16"/>
  <c r="R26" i="16"/>
  <c r="R25" i="16"/>
  <c r="R24" i="16"/>
  <c r="R23" i="16"/>
  <c r="R22" i="16"/>
  <c r="R21" i="16"/>
  <c r="R20" i="16"/>
  <c r="R19" i="16"/>
  <c r="R18" i="16"/>
  <c r="R17" i="16"/>
  <c r="R16" i="16"/>
  <c r="R15" i="16"/>
  <c r="R14" i="16"/>
  <c r="R13" i="16"/>
  <c r="R11" i="16"/>
  <c r="R10" i="16"/>
  <c r="E11" i="16"/>
  <c r="E24" i="16"/>
  <c r="K24" i="16" s="1"/>
  <c r="E32" i="16"/>
  <c r="AK2" i="26"/>
  <c r="AI2" i="26"/>
  <c r="AI1" i="26" s="1"/>
  <c r="AK1" i="26"/>
  <c r="AK1" i="13"/>
  <c r="AI1" i="13"/>
  <c r="AI2" i="13"/>
  <c r="AK2" i="13"/>
  <c r="AL5" i="1" l="1"/>
  <c r="AM5" i="1"/>
  <c r="P30" i="17"/>
  <c r="Q30" i="17"/>
  <c r="S30" i="17"/>
  <c r="T30" i="17"/>
  <c r="AB30" i="17" s="1"/>
  <c r="AD30" i="17" s="1"/>
  <c r="W30" i="17"/>
  <c r="X30" i="17"/>
  <c r="Z30" i="17"/>
  <c r="AA30" i="17"/>
  <c r="AE30" i="17" s="1"/>
  <c r="AC30" i="17"/>
  <c r="C30" i="17"/>
  <c r="D30" i="17"/>
  <c r="F30" i="17"/>
  <c r="G30" i="17"/>
  <c r="H30" i="17"/>
  <c r="H67" i="17"/>
  <c r="G67" i="17"/>
  <c r="F67" i="17"/>
  <c r="D67" i="17"/>
  <c r="C67" i="17"/>
  <c r="H66" i="17"/>
  <c r="G66" i="17"/>
  <c r="F66" i="17"/>
  <c r="D66" i="17"/>
  <c r="C66" i="17"/>
  <c r="H65" i="17"/>
  <c r="G65" i="17"/>
  <c r="F65" i="17"/>
  <c r="D65" i="17"/>
  <c r="C65" i="17"/>
  <c r="H64" i="17"/>
  <c r="G64" i="17"/>
  <c r="F64" i="17"/>
  <c r="D64" i="17"/>
  <c r="C64" i="17"/>
  <c r="H63" i="17"/>
  <c r="G63" i="17"/>
  <c r="F63" i="17"/>
  <c r="D63" i="17"/>
  <c r="C63" i="17"/>
  <c r="H62" i="17"/>
  <c r="G62" i="17"/>
  <c r="F62" i="17"/>
  <c r="D62" i="17"/>
  <c r="C62" i="17"/>
  <c r="H61" i="17"/>
  <c r="G61" i="17"/>
  <c r="F61" i="17"/>
  <c r="D61" i="17"/>
  <c r="C61" i="17"/>
  <c r="H60" i="17"/>
  <c r="G60" i="17"/>
  <c r="F60" i="17"/>
  <c r="D60" i="17"/>
  <c r="C60" i="17"/>
  <c r="H59" i="17"/>
  <c r="G59" i="17"/>
  <c r="F59" i="17"/>
  <c r="D59" i="17"/>
  <c r="C59" i="17"/>
  <c r="H57" i="17"/>
  <c r="G57" i="17"/>
  <c r="F57" i="17"/>
  <c r="D57" i="17"/>
  <c r="C57" i="17"/>
  <c r="H56" i="17"/>
  <c r="G56" i="17"/>
  <c r="F56" i="17"/>
  <c r="D56" i="17"/>
  <c r="C56" i="17"/>
  <c r="H55" i="17"/>
  <c r="G55" i="17"/>
  <c r="F55" i="17"/>
  <c r="D55" i="17"/>
  <c r="C55" i="17"/>
  <c r="H54" i="17"/>
  <c r="G54" i="17"/>
  <c r="F54" i="17"/>
  <c r="D54" i="17"/>
  <c r="C54" i="17"/>
  <c r="H53" i="17"/>
  <c r="G53" i="17"/>
  <c r="F53" i="17"/>
  <c r="D53" i="17"/>
  <c r="C53" i="17"/>
  <c r="H52" i="17"/>
  <c r="G52" i="17"/>
  <c r="F52" i="17"/>
  <c r="D52" i="17"/>
  <c r="C52" i="17"/>
  <c r="H51" i="17"/>
  <c r="G51" i="17"/>
  <c r="F51" i="17"/>
  <c r="D51" i="17"/>
  <c r="C51" i="17"/>
  <c r="H50" i="17"/>
  <c r="G50" i="17"/>
  <c r="F50" i="17"/>
  <c r="D50" i="17"/>
  <c r="C50" i="17"/>
  <c r="H49" i="17"/>
  <c r="G49" i="17"/>
  <c r="F49" i="17"/>
  <c r="D49" i="17"/>
  <c r="C49" i="17"/>
  <c r="H48" i="17"/>
  <c r="G48" i="17"/>
  <c r="F48" i="17"/>
  <c r="D48" i="17"/>
  <c r="C48" i="17"/>
  <c r="H47" i="17"/>
  <c r="G47" i="17"/>
  <c r="F47" i="17"/>
  <c r="D47" i="17"/>
  <c r="C47" i="17"/>
  <c r="H46" i="17"/>
  <c r="G46" i="17"/>
  <c r="F46" i="17"/>
  <c r="D46" i="17"/>
  <c r="C46" i="17"/>
  <c r="H45" i="17"/>
  <c r="G45" i="17"/>
  <c r="F45" i="17"/>
  <c r="D45" i="17"/>
  <c r="C45" i="17"/>
  <c r="H43" i="17"/>
  <c r="G43" i="17"/>
  <c r="F43" i="17"/>
  <c r="D43" i="17"/>
  <c r="C43" i="17"/>
  <c r="H42" i="17"/>
  <c r="G42" i="17"/>
  <c r="F42" i="17"/>
  <c r="D42" i="17"/>
  <c r="C42" i="17"/>
  <c r="H41" i="17"/>
  <c r="G41" i="17"/>
  <c r="F41" i="17"/>
  <c r="D41" i="17"/>
  <c r="C41" i="17"/>
  <c r="H40" i="17"/>
  <c r="G40" i="17"/>
  <c r="F40" i="17"/>
  <c r="D40" i="17"/>
  <c r="C40" i="17"/>
  <c r="H39" i="17"/>
  <c r="G39" i="17"/>
  <c r="F39" i="17"/>
  <c r="D39" i="17"/>
  <c r="C39" i="17"/>
  <c r="H38" i="17"/>
  <c r="G38" i="17"/>
  <c r="F38" i="17"/>
  <c r="D38" i="17"/>
  <c r="C38" i="17"/>
  <c r="H37" i="17"/>
  <c r="G37" i="17"/>
  <c r="F37" i="17"/>
  <c r="D37" i="17"/>
  <c r="C37" i="17"/>
  <c r="H36" i="17"/>
  <c r="G36" i="17"/>
  <c r="F36" i="17"/>
  <c r="D36" i="17"/>
  <c r="C36" i="17"/>
  <c r="H35" i="17"/>
  <c r="G35" i="17"/>
  <c r="F35" i="17"/>
  <c r="D35" i="17"/>
  <c r="C35" i="17"/>
  <c r="H34" i="17"/>
  <c r="G34" i="17"/>
  <c r="F34" i="17"/>
  <c r="D34" i="17"/>
  <c r="C34" i="17"/>
  <c r="H33" i="17"/>
  <c r="G33" i="17"/>
  <c r="F33" i="17"/>
  <c r="D33" i="17"/>
  <c r="C33" i="17"/>
  <c r="H32" i="17"/>
  <c r="G32" i="17"/>
  <c r="F32" i="17"/>
  <c r="D32" i="17"/>
  <c r="C32" i="17"/>
  <c r="H31" i="17"/>
  <c r="G31" i="17"/>
  <c r="F31" i="17"/>
  <c r="D31" i="17"/>
  <c r="C31" i="17"/>
  <c r="H28" i="17"/>
  <c r="G28" i="17"/>
  <c r="F28" i="17"/>
  <c r="D28" i="17"/>
  <c r="C28" i="17"/>
  <c r="H27" i="17"/>
  <c r="G27" i="17"/>
  <c r="F27" i="17"/>
  <c r="D27" i="17"/>
  <c r="C27" i="17"/>
  <c r="H26" i="17"/>
  <c r="G26" i="17"/>
  <c r="F26" i="17"/>
  <c r="D26" i="17"/>
  <c r="C26" i="17"/>
  <c r="H25" i="17"/>
  <c r="G25" i="17"/>
  <c r="F25" i="17"/>
  <c r="D25" i="17"/>
  <c r="C25" i="17"/>
  <c r="H24" i="17"/>
  <c r="G24" i="17"/>
  <c r="F24" i="17"/>
  <c r="D24" i="17"/>
  <c r="C24" i="17"/>
  <c r="H23" i="17"/>
  <c r="G23" i="17"/>
  <c r="F23" i="17"/>
  <c r="D23" i="17"/>
  <c r="C23" i="17"/>
  <c r="H22" i="17"/>
  <c r="G22" i="17"/>
  <c r="F22" i="17"/>
  <c r="D22" i="17"/>
  <c r="C22" i="17"/>
  <c r="H21" i="17"/>
  <c r="G21" i="17"/>
  <c r="F21" i="17"/>
  <c r="D21" i="17"/>
  <c r="C21" i="17"/>
  <c r="H20" i="17"/>
  <c r="G20" i="17"/>
  <c r="F20" i="17"/>
  <c r="D20" i="17"/>
  <c r="C20" i="17"/>
  <c r="H19" i="17"/>
  <c r="G19" i="17"/>
  <c r="F19" i="17"/>
  <c r="D19" i="17"/>
  <c r="C19" i="17"/>
  <c r="H18" i="17"/>
  <c r="G18" i="17"/>
  <c r="F18" i="17"/>
  <c r="D18" i="17"/>
  <c r="C18" i="17"/>
  <c r="H17" i="17"/>
  <c r="G17" i="17"/>
  <c r="F17" i="17"/>
  <c r="D17" i="17"/>
  <c r="C17" i="17"/>
  <c r="H16" i="17"/>
  <c r="G16" i="17"/>
  <c r="F16" i="17"/>
  <c r="D16" i="17"/>
  <c r="C16" i="17"/>
  <c r="H15" i="17"/>
  <c r="G15" i="17"/>
  <c r="F15" i="17"/>
  <c r="D15" i="17"/>
  <c r="C15" i="17"/>
  <c r="H14" i="17"/>
  <c r="G14" i="17"/>
  <c r="F14" i="17"/>
  <c r="D14" i="17"/>
  <c r="C14" i="17"/>
  <c r="H13" i="17"/>
  <c r="G13" i="17"/>
  <c r="F13" i="17"/>
  <c r="D13" i="17"/>
  <c r="C13" i="17"/>
  <c r="H12" i="17"/>
  <c r="G12" i="17"/>
  <c r="F12" i="17"/>
  <c r="D12" i="17"/>
  <c r="C12" i="17"/>
  <c r="H10" i="17"/>
  <c r="G10" i="17"/>
  <c r="F10" i="17"/>
  <c r="D10" i="17"/>
  <c r="C10" i="17"/>
  <c r="H9" i="17"/>
  <c r="G9" i="17"/>
  <c r="F9" i="17"/>
  <c r="D9" i="17"/>
  <c r="C9" i="17"/>
  <c r="T67" i="17"/>
  <c r="S67" i="17"/>
  <c r="Q67" i="17"/>
  <c r="P67" i="17"/>
  <c r="T66" i="17"/>
  <c r="S66" i="17"/>
  <c r="Q66" i="17"/>
  <c r="P66" i="17"/>
  <c r="T65" i="17"/>
  <c r="S65" i="17"/>
  <c r="Q65" i="17"/>
  <c r="P65" i="17"/>
  <c r="T64" i="17"/>
  <c r="S64" i="17"/>
  <c r="Q64" i="17"/>
  <c r="P64" i="17"/>
  <c r="T63" i="17"/>
  <c r="S63" i="17"/>
  <c r="Q63" i="17"/>
  <c r="P63" i="17"/>
  <c r="T62" i="17"/>
  <c r="S62" i="17"/>
  <c r="Q62" i="17"/>
  <c r="P62" i="17"/>
  <c r="T61" i="17"/>
  <c r="S61" i="17"/>
  <c r="Q61" i="17"/>
  <c r="P61" i="17"/>
  <c r="T60" i="17"/>
  <c r="S60" i="17"/>
  <c r="Q60" i="17"/>
  <c r="P60" i="17"/>
  <c r="T59" i="17"/>
  <c r="S59" i="17"/>
  <c r="Q59" i="17"/>
  <c r="P59" i="17"/>
  <c r="T57" i="17"/>
  <c r="S57" i="17"/>
  <c r="Q57" i="17"/>
  <c r="P57" i="17"/>
  <c r="T56" i="17"/>
  <c r="S56" i="17"/>
  <c r="Q56" i="17"/>
  <c r="P56" i="17"/>
  <c r="T55" i="17"/>
  <c r="S55" i="17"/>
  <c r="Q55" i="17"/>
  <c r="P55" i="17"/>
  <c r="T54" i="17"/>
  <c r="S54" i="17"/>
  <c r="Q54" i="17"/>
  <c r="P54" i="17"/>
  <c r="T53" i="17"/>
  <c r="S53" i="17"/>
  <c r="Q53" i="17"/>
  <c r="P53" i="17"/>
  <c r="T52" i="17"/>
  <c r="S52" i="17"/>
  <c r="Q52" i="17"/>
  <c r="P52" i="17"/>
  <c r="T51" i="17"/>
  <c r="S51" i="17"/>
  <c r="Q51" i="17"/>
  <c r="P51" i="17"/>
  <c r="T50" i="17"/>
  <c r="S50" i="17"/>
  <c r="Q50" i="17"/>
  <c r="P50" i="17"/>
  <c r="T49" i="17"/>
  <c r="S49" i="17"/>
  <c r="Q49" i="17"/>
  <c r="P49" i="17"/>
  <c r="T48" i="17"/>
  <c r="S48" i="17"/>
  <c r="Q48" i="17"/>
  <c r="P48" i="17"/>
  <c r="T47" i="17"/>
  <c r="S47" i="17"/>
  <c r="Q47" i="17"/>
  <c r="P47" i="17"/>
  <c r="T46" i="17"/>
  <c r="S46" i="17"/>
  <c r="Q46" i="17"/>
  <c r="P46" i="17"/>
  <c r="T45" i="17"/>
  <c r="S45" i="17"/>
  <c r="Q45" i="17"/>
  <c r="P45" i="17"/>
  <c r="T43" i="17"/>
  <c r="S43" i="17"/>
  <c r="Q43" i="17"/>
  <c r="P43" i="17"/>
  <c r="T42" i="17"/>
  <c r="S42" i="17"/>
  <c r="Q42" i="17"/>
  <c r="P42" i="17"/>
  <c r="T41" i="17"/>
  <c r="S41" i="17"/>
  <c r="Q41" i="17"/>
  <c r="P41" i="17"/>
  <c r="T40" i="17"/>
  <c r="S40" i="17"/>
  <c r="Q40" i="17"/>
  <c r="P40" i="17"/>
  <c r="T39" i="17"/>
  <c r="S39" i="17"/>
  <c r="Q39" i="17"/>
  <c r="P39" i="17"/>
  <c r="T38" i="17"/>
  <c r="S38" i="17"/>
  <c r="Q38" i="17"/>
  <c r="P38" i="17"/>
  <c r="T37" i="17"/>
  <c r="S37" i="17"/>
  <c r="Q37" i="17"/>
  <c r="P37" i="17"/>
  <c r="T36" i="17"/>
  <c r="S36" i="17"/>
  <c r="Q36" i="17"/>
  <c r="P36" i="17"/>
  <c r="T35" i="17"/>
  <c r="S35" i="17"/>
  <c r="Q35" i="17"/>
  <c r="P35" i="17"/>
  <c r="T34" i="17"/>
  <c r="S34" i="17"/>
  <c r="Q34" i="17"/>
  <c r="P34" i="17"/>
  <c r="T33" i="17"/>
  <c r="S33" i="17"/>
  <c r="Q33" i="17"/>
  <c r="P33" i="17"/>
  <c r="T32" i="17"/>
  <c r="S32" i="17"/>
  <c r="Q32" i="17"/>
  <c r="P32" i="17"/>
  <c r="T31" i="17"/>
  <c r="S31" i="17"/>
  <c r="Q31" i="17"/>
  <c r="P31" i="17"/>
  <c r="T28" i="17"/>
  <c r="S28" i="17"/>
  <c r="Q28" i="17"/>
  <c r="P28" i="17"/>
  <c r="T27" i="17"/>
  <c r="S27" i="17"/>
  <c r="Q27" i="17"/>
  <c r="P27" i="17"/>
  <c r="T26" i="17"/>
  <c r="S26" i="17"/>
  <c r="Q26" i="17"/>
  <c r="P26" i="17"/>
  <c r="T25" i="17"/>
  <c r="S25" i="17"/>
  <c r="Q25" i="17"/>
  <c r="P25" i="17"/>
  <c r="T24" i="17"/>
  <c r="S24" i="17"/>
  <c r="Q24" i="17"/>
  <c r="P24" i="17"/>
  <c r="T23" i="17"/>
  <c r="S23" i="17"/>
  <c r="Q23" i="17"/>
  <c r="P23" i="17"/>
  <c r="T22" i="17"/>
  <c r="S22" i="17"/>
  <c r="Q22" i="17"/>
  <c r="P22" i="17"/>
  <c r="T21" i="17"/>
  <c r="S21" i="17"/>
  <c r="Q21" i="17"/>
  <c r="P21" i="17"/>
  <c r="T20" i="17"/>
  <c r="S20" i="17"/>
  <c r="Q20" i="17"/>
  <c r="P20" i="17"/>
  <c r="T19" i="17"/>
  <c r="S19" i="17"/>
  <c r="Q19" i="17"/>
  <c r="P19" i="17"/>
  <c r="T18" i="17"/>
  <c r="S18" i="17"/>
  <c r="Q18" i="17"/>
  <c r="P18" i="17"/>
  <c r="T17" i="17"/>
  <c r="S17" i="17"/>
  <c r="Q17" i="17"/>
  <c r="P17" i="17"/>
  <c r="T16" i="17"/>
  <c r="S16" i="17"/>
  <c r="Q16" i="17"/>
  <c r="P16" i="17"/>
  <c r="T15" i="17"/>
  <c r="S15" i="17"/>
  <c r="Q15" i="17"/>
  <c r="P15" i="17"/>
  <c r="T14" i="17"/>
  <c r="S14" i="17"/>
  <c r="Q14" i="17"/>
  <c r="P14" i="17"/>
  <c r="T13" i="17"/>
  <c r="S13" i="17"/>
  <c r="Q13" i="17"/>
  <c r="P13" i="17"/>
  <c r="T12" i="17"/>
  <c r="S12" i="17"/>
  <c r="Q12" i="17"/>
  <c r="P12" i="17"/>
  <c r="T10" i="17"/>
  <c r="S10" i="17"/>
  <c r="Q10" i="17"/>
  <c r="P10" i="17"/>
  <c r="T9" i="17"/>
  <c r="S9" i="17"/>
  <c r="Q9" i="17"/>
  <c r="P9" i="17"/>
  <c r="U69" i="16"/>
  <c r="T69" i="16"/>
  <c r="S69" i="16"/>
  <c r="Q69" i="16"/>
  <c r="P69" i="16"/>
  <c r="U68" i="16"/>
  <c r="T68" i="16"/>
  <c r="S68" i="16"/>
  <c r="Q68" i="16"/>
  <c r="P68" i="16"/>
  <c r="U67" i="16"/>
  <c r="T67" i="16"/>
  <c r="S67" i="16"/>
  <c r="Q67" i="16"/>
  <c r="P67" i="16"/>
  <c r="U66" i="16"/>
  <c r="T66" i="16"/>
  <c r="S66" i="16"/>
  <c r="Q66" i="16"/>
  <c r="P66" i="16"/>
  <c r="U65" i="16"/>
  <c r="T65" i="16"/>
  <c r="S65" i="16"/>
  <c r="Q65" i="16"/>
  <c r="P65" i="16"/>
  <c r="U64" i="16"/>
  <c r="T64" i="16"/>
  <c r="S64" i="16"/>
  <c r="Q64" i="16"/>
  <c r="P64" i="16"/>
  <c r="U63" i="16"/>
  <c r="T63" i="16"/>
  <c r="S63" i="16"/>
  <c r="Q63" i="16"/>
  <c r="P63" i="16"/>
  <c r="U62" i="16"/>
  <c r="T62" i="16"/>
  <c r="S62" i="16"/>
  <c r="Q62" i="16"/>
  <c r="P62" i="16"/>
  <c r="U61" i="16"/>
  <c r="T61" i="16"/>
  <c r="S61" i="16"/>
  <c r="Q61" i="16"/>
  <c r="P61" i="16"/>
  <c r="U60" i="16"/>
  <c r="T60" i="16"/>
  <c r="S60" i="16"/>
  <c r="Q60" i="16"/>
  <c r="P60" i="16"/>
  <c r="U58" i="16"/>
  <c r="T58" i="16"/>
  <c r="S58" i="16"/>
  <c r="Q58" i="16"/>
  <c r="P58" i="16"/>
  <c r="U57" i="16"/>
  <c r="T57" i="16"/>
  <c r="S57" i="16"/>
  <c r="Q57" i="16"/>
  <c r="P57" i="16"/>
  <c r="U56" i="16"/>
  <c r="T56" i="16"/>
  <c r="S56" i="16"/>
  <c r="Q56" i="16"/>
  <c r="P56" i="16"/>
  <c r="U55" i="16"/>
  <c r="T55" i="16"/>
  <c r="S55" i="16"/>
  <c r="Q55" i="16"/>
  <c r="P55" i="16"/>
  <c r="U54" i="16"/>
  <c r="T54" i="16"/>
  <c r="S54" i="16"/>
  <c r="Q54" i="16"/>
  <c r="P54" i="16"/>
  <c r="U53" i="16"/>
  <c r="T53" i="16"/>
  <c r="S53" i="16"/>
  <c r="Q53" i="16"/>
  <c r="P53" i="16"/>
  <c r="U52" i="16"/>
  <c r="T52" i="16"/>
  <c r="S52" i="16"/>
  <c r="Q52" i="16"/>
  <c r="P52" i="16"/>
  <c r="U51" i="16"/>
  <c r="T51" i="16"/>
  <c r="S51" i="16"/>
  <c r="Q51" i="16"/>
  <c r="P51" i="16"/>
  <c r="U50" i="16"/>
  <c r="T50" i="16"/>
  <c r="S50" i="16"/>
  <c r="Q50" i="16"/>
  <c r="P50" i="16"/>
  <c r="U49" i="16"/>
  <c r="T49" i="16"/>
  <c r="S49" i="16"/>
  <c r="Q49" i="16"/>
  <c r="P49" i="16"/>
  <c r="U48" i="16"/>
  <c r="T48" i="16"/>
  <c r="S48" i="16"/>
  <c r="Q48" i="16"/>
  <c r="P48" i="16"/>
  <c r="U47" i="16"/>
  <c r="T47" i="16"/>
  <c r="S47" i="16"/>
  <c r="Q47" i="16"/>
  <c r="P47" i="16"/>
  <c r="U46" i="16"/>
  <c r="T46" i="16"/>
  <c r="S46" i="16"/>
  <c r="Q46" i="16"/>
  <c r="P46" i="16"/>
  <c r="U44" i="16"/>
  <c r="T44" i="16"/>
  <c r="S44" i="16"/>
  <c r="Q44" i="16"/>
  <c r="P44" i="16"/>
  <c r="U43" i="16"/>
  <c r="T43" i="16"/>
  <c r="S43" i="16"/>
  <c r="Q43" i="16"/>
  <c r="P43" i="16"/>
  <c r="U42" i="16"/>
  <c r="T42" i="16"/>
  <c r="S42" i="16"/>
  <c r="Q42" i="16"/>
  <c r="P42" i="16"/>
  <c r="U41" i="16"/>
  <c r="T41" i="16"/>
  <c r="S41" i="16"/>
  <c r="Q41" i="16"/>
  <c r="P41" i="16"/>
  <c r="U40" i="16"/>
  <c r="T40" i="16"/>
  <c r="S40" i="16"/>
  <c r="Q40" i="16"/>
  <c r="P40" i="16"/>
  <c r="U39" i="16"/>
  <c r="T39" i="16"/>
  <c r="S39" i="16"/>
  <c r="Q39" i="16"/>
  <c r="P39" i="16"/>
  <c r="U38" i="16"/>
  <c r="T38" i="16"/>
  <c r="S38" i="16"/>
  <c r="Q38" i="16"/>
  <c r="P38" i="16"/>
  <c r="U37" i="16"/>
  <c r="T37" i="16"/>
  <c r="S37" i="16"/>
  <c r="Q37" i="16"/>
  <c r="P37" i="16"/>
  <c r="U36" i="16"/>
  <c r="T36" i="16"/>
  <c r="S36" i="16"/>
  <c r="Q36" i="16"/>
  <c r="P36" i="16"/>
  <c r="U35" i="16"/>
  <c r="T35" i="16"/>
  <c r="S35" i="16"/>
  <c r="Q35" i="16"/>
  <c r="P35" i="16"/>
  <c r="U34" i="16"/>
  <c r="T34" i="16"/>
  <c r="S34" i="16"/>
  <c r="Q34" i="16"/>
  <c r="P34" i="16"/>
  <c r="U33" i="16"/>
  <c r="T33" i="16"/>
  <c r="S33" i="16"/>
  <c r="Q33" i="16"/>
  <c r="P33" i="16"/>
  <c r="U32" i="16"/>
  <c r="T32" i="16"/>
  <c r="S32" i="16"/>
  <c r="Q32" i="16"/>
  <c r="P32" i="16"/>
  <c r="U31" i="16"/>
  <c r="T31" i="16"/>
  <c r="S31" i="16"/>
  <c r="Q31" i="16"/>
  <c r="P31" i="16"/>
  <c r="U29" i="16"/>
  <c r="T29" i="16"/>
  <c r="S29" i="16"/>
  <c r="Q29" i="16"/>
  <c r="P29" i="16"/>
  <c r="U28" i="16"/>
  <c r="T28" i="16"/>
  <c r="S28" i="16"/>
  <c r="Q28" i="16"/>
  <c r="P28" i="16"/>
  <c r="U27" i="16"/>
  <c r="T27" i="16"/>
  <c r="S27" i="16"/>
  <c r="Q27" i="16"/>
  <c r="P27" i="16"/>
  <c r="U26" i="16"/>
  <c r="T26" i="16"/>
  <c r="S26" i="16"/>
  <c r="Q26" i="16"/>
  <c r="P26" i="16"/>
  <c r="U25" i="16"/>
  <c r="T25" i="16"/>
  <c r="S25" i="16"/>
  <c r="Q25" i="16"/>
  <c r="P25" i="16"/>
  <c r="U24" i="16"/>
  <c r="T24" i="16"/>
  <c r="S24" i="16"/>
  <c r="Q24" i="16"/>
  <c r="P24" i="16"/>
  <c r="U23" i="16"/>
  <c r="T23" i="16"/>
  <c r="S23" i="16"/>
  <c r="Q23" i="16"/>
  <c r="P23" i="16"/>
  <c r="U22" i="16"/>
  <c r="T22" i="16"/>
  <c r="S22" i="16"/>
  <c r="Q22" i="16"/>
  <c r="P22" i="16"/>
  <c r="U21" i="16"/>
  <c r="T21" i="16"/>
  <c r="S21" i="16"/>
  <c r="Q21" i="16"/>
  <c r="P21" i="16"/>
  <c r="U20" i="16"/>
  <c r="T20" i="16"/>
  <c r="S20" i="16"/>
  <c r="Q20" i="16"/>
  <c r="P20" i="16"/>
  <c r="U19" i="16"/>
  <c r="T19" i="16"/>
  <c r="S19" i="16"/>
  <c r="Q19" i="16"/>
  <c r="P19" i="16"/>
  <c r="U18" i="16"/>
  <c r="T18" i="16"/>
  <c r="S18" i="16"/>
  <c r="Q18" i="16"/>
  <c r="P18" i="16"/>
  <c r="U17" i="16"/>
  <c r="T17" i="16"/>
  <c r="S17" i="16"/>
  <c r="Q17" i="16"/>
  <c r="P17" i="16"/>
  <c r="U16" i="16"/>
  <c r="T16" i="16"/>
  <c r="S16" i="16"/>
  <c r="Q16" i="16"/>
  <c r="P16" i="16"/>
  <c r="U15" i="16"/>
  <c r="T15" i="16"/>
  <c r="S15" i="16"/>
  <c r="Q15" i="16"/>
  <c r="P15" i="16"/>
  <c r="U14" i="16"/>
  <c r="T14" i="16"/>
  <c r="S14" i="16"/>
  <c r="Q14" i="16"/>
  <c r="P14" i="16"/>
  <c r="U13" i="16"/>
  <c r="T13" i="16"/>
  <c r="S13" i="16"/>
  <c r="Q13" i="16"/>
  <c r="P13" i="16"/>
  <c r="U11" i="16"/>
  <c r="T11" i="16"/>
  <c r="S11" i="16"/>
  <c r="Q11" i="16"/>
  <c r="P11" i="16"/>
  <c r="U10" i="16"/>
  <c r="T10" i="16"/>
  <c r="S10" i="16"/>
  <c r="Q10" i="16"/>
  <c r="P10" i="16"/>
  <c r="H69" i="16"/>
  <c r="N69" i="16" s="1"/>
  <c r="G69" i="16"/>
  <c r="M69" i="16" s="1"/>
  <c r="F69" i="16"/>
  <c r="L69" i="16" s="1"/>
  <c r="E69" i="16"/>
  <c r="K69" i="16" s="1"/>
  <c r="D69" i="16"/>
  <c r="J69" i="16" s="1"/>
  <c r="C69" i="16"/>
  <c r="I69" i="16" s="1"/>
  <c r="H68" i="16"/>
  <c r="N68" i="16" s="1"/>
  <c r="G68" i="16"/>
  <c r="M68" i="16" s="1"/>
  <c r="F68" i="16"/>
  <c r="E68" i="16"/>
  <c r="K68" i="16" s="1"/>
  <c r="D68" i="16"/>
  <c r="C68" i="16"/>
  <c r="I68" i="16" s="1"/>
  <c r="H67" i="16"/>
  <c r="N67" i="16" s="1"/>
  <c r="G67" i="16"/>
  <c r="M67" i="16" s="1"/>
  <c r="F67" i="16"/>
  <c r="L67" i="16" s="1"/>
  <c r="E67" i="16"/>
  <c r="K67" i="16" s="1"/>
  <c r="D67" i="16"/>
  <c r="J67" i="16" s="1"/>
  <c r="C67" i="16"/>
  <c r="H66" i="16"/>
  <c r="G66" i="16"/>
  <c r="F66" i="16"/>
  <c r="L66" i="16" s="1"/>
  <c r="E66" i="16"/>
  <c r="K66" i="16" s="1"/>
  <c r="D66" i="16"/>
  <c r="J66" i="16" s="1"/>
  <c r="C66" i="16"/>
  <c r="I66" i="16" s="1"/>
  <c r="H65" i="16"/>
  <c r="N65" i="16" s="1"/>
  <c r="G65" i="16"/>
  <c r="M65" i="16" s="1"/>
  <c r="F65" i="16"/>
  <c r="E65" i="16"/>
  <c r="K65" i="16" s="1"/>
  <c r="D65" i="16"/>
  <c r="C65" i="16"/>
  <c r="H64" i="16"/>
  <c r="N64" i="16" s="1"/>
  <c r="G64" i="16"/>
  <c r="M64" i="16" s="1"/>
  <c r="F64" i="16"/>
  <c r="L64" i="16" s="1"/>
  <c r="E64" i="16"/>
  <c r="K64" i="16" s="1"/>
  <c r="D64" i="16"/>
  <c r="J64" i="16" s="1"/>
  <c r="C64" i="16"/>
  <c r="I64" i="16" s="1"/>
  <c r="H63" i="16"/>
  <c r="G63" i="16"/>
  <c r="F63" i="16"/>
  <c r="E63" i="16"/>
  <c r="K63" i="16" s="1"/>
  <c r="D63" i="16"/>
  <c r="J63" i="16" s="1"/>
  <c r="C63" i="16"/>
  <c r="I63" i="16" s="1"/>
  <c r="H62" i="16"/>
  <c r="N62" i="16" s="1"/>
  <c r="G62" i="16"/>
  <c r="M62" i="16" s="1"/>
  <c r="F62" i="16"/>
  <c r="L62" i="16" s="1"/>
  <c r="E62" i="16"/>
  <c r="K62" i="16" s="1"/>
  <c r="D62" i="16"/>
  <c r="J62" i="16" s="1"/>
  <c r="C62" i="16"/>
  <c r="I62" i="16" s="1"/>
  <c r="H61" i="16"/>
  <c r="N61" i="16" s="1"/>
  <c r="G61" i="16"/>
  <c r="M61" i="16" s="1"/>
  <c r="F61" i="16"/>
  <c r="L61" i="16" s="1"/>
  <c r="E61" i="16"/>
  <c r="K61" i="16" s="1"/>
  <c r="D61" i="16"/>
  <c r="J61" i="16" s="1"/>
  <c r="C61" i="16"/>
  <c r="I61" i="16" s="1"/>
  <c r="H60" i="16"/>
  <c r="N60" i="16" s="1"/>
  <c r="G60" i="16"/>
  <c r="M60" i="16" s="1"/>
  <c r="F60" i="16"/>
  <c r="E60" i="16"/>
  <c r="K60" i="16" s="1"/>
  <c r="D60" i="16"/>
  <c r="C60" i="16"/>
  <c r="I60" i="16" s="1"/>
  <c r="H58" i="16"/>
  <c r="N58" i="16" s="1"/>
  <c r="G58" i="16"/>
  <c r="M58" i="16" s="1"/>
  <c r="F58" i="16"/>
  <c r="L58" i="16" s="1"/>
  <c r="E58" i="16"/>
  <c r="K58" i="16" s="1"/>
  <c r="D58" i="16"/>
  <c r="J58" i="16" s="1"/>
  <c r="C58" i="16"/>
  <c r="I58" i="16" s="1"/>
  <c r="H57" i="16"/>
  <c r="G57" i="16"/>
  <c r="F57" i="16"/>
  <c r="L57" i="16" s="1"/>
  <c r="E57" i="16"/>
  <c r="K57" i="16" s="1"/>
  <c r="D57" i="16"/>
  <c r="J57" i="16" s="1"/>
  <c r="C57" i="16"/>
  <c r="I57" i="16" s="1"/>
  <c r="H56" i="16"/>
  <c r="N56" i="16" s="1"/>
  <c r="G56" i="16"/>
  <c r="M56" i="16" s="1"/>
  <c r="F56" i="16"/>
  <c r="L56" i="16" s="1"/>
  <c r="E56" i="16"/>
  <c r="K56" i="16" s="1"/>
  <c r="D56" i="16"/>
  <c r="C56" i="16"/>
  <c r="H55" i="16"/>
  <c r="N55" i="16" s="1"/>
  <c r="G55" i="16"/>
  <c r="M55" i="16" s="1"/>
  <c r="F55" i="16"/>
  <c r="L55" i="16" s="1"/>
  <c r="E55" i="16"/>
  <c r="K55" i="16" s="1"/>
  <c r="D55" i="16"/>
  <c r="J55" i="16" s="1"/>
  <c r="C55" i="16"/>
  <c r="I55" i="16" s="1"/>
  <c r="H54" i="16"/>
  <c r="N54" i="16" s="1"/>
  <c r="G54" i="16"/>
  <c r="F54" i="16"/>
  <c r="E54" i="16"/>
  <c r="K54" i="16" s="1"/>
  <c r="D54" i="16"/>
  <c r="J54" i="16" s="1"/>
  <c r="C54" i="16"/>
  <c r="I54" i="16" s="1"/>
  <c r="H53" i="16"/>
  <c r="N53" i="16" s="1"/>
  <c r="G53" i="16"/>
  <c r="M53" i="16" s="1"/>
  <c r="F53" i="16"/>
  <c r="L53" i="16" s="1"/>
  <c r="E53" i="16"/>
  <c r="K53" i="16" s="1"/>
  <c r="D53" i="16"/>
  <c r="J53" i="16" s="1"/>
  <c r="C53" i="16"/>
  <c r="I53" i="16" s="1"/>
  <c r="H52" i="16"/>
  <c r="N52" i="16" s="1"/>
  <c r="G52" i="16"/>
  <c r="M52" i="16" s="1"/>
  <c r="F52" i="16"/>
  <c r="L52" i="16" s="1"/>
  <c r="E52" i="16"/>
  <c r="K52" i="16" s="1"/>
  <c r="D52" i="16"/>
  <c r="J52" i="16" s="1"/>
  <c r="C52" i="16"/>
  <c r="I52" i="16" s="1"/>
  <c r="H51" i="16"/>
  <c r="N51" i="16" s="1"/>
  <c r="G51" i="16"/>
  <c r="M51" i="16" s="1"/>
  <c r="F51" i="16"/>
  <c r="E51" i="16"/>
  <c r="K51" i="16" s="1"/>
  <c r="D51" i="16"/>
  <c r="C51" i="16"/>
  <c r="I51" i="16" s="1"/>
  <c r="H50" i="16"/>
  <c r="N50" i="16" s="1"/>
  <c r="G50" i="16"/>
  <c r="M50" i="16" s="1"/>
  <c r="F50" i="16"/>
  <c r="L50" i="16" s="1"/>
  <c r="E50" i="16"/>
  <c r="K50" i="16" s="1"/>
  <c r="D50" i="16"/>
  <c r="J50" i="16" s="1"/>
  <c r="C50" i="16"/>
  <c r="I50" i="16" s="1"/>
  <c r="H49" i="16"/>
  <c r="G49" i="16"/>
  <c r="F49" i="16"/>
  <c r="L49" i="16" s="1"/>
  <c r="E49" i="16"/>
  <c r="K49" i="16" s="1"/>
  <c r="D49" i="16"/>
  <c r="J49" i="16" s="1"/>
  <c r="C49" i="16"/>
  <c r="I49" i="16" s="1"/>
  <c r="H48" i="16"/>
  <c r="N48" i="16" s="1"/>
  <c r="G48" i="16"/>
  <c r="M48" i="16" s="1"/>
  <c r="F48" i="16"/>
  <c r="L48" i="16" s="1"/>
  <c r="E48" i="16"/>
  <c r="K48" i="16" s="1"/>
  <c r="D48" i="16"/>
  <c r="C48" i="16"/>
  <c r="H47" i="16"/>
  <c r="N47" i="16" s="1"/>
  <c r="G47" i="16"/>
  <c r="M47" i="16" s="1"/>
  <c r="F47" i="16"/>
  <c r="L47" i="16" s="1"/>
  <c r="E47" i="16"/>
  <c r="K47" i="16" s="1"/>
  <c r="D47" i="16"/>
  <c r="J47" i="16" s="1"/>
  <c r="C47" i="16"/>
  <c r="I47" i="16" s="1"/>
  <c r="H46" i="16"/>
  <c r="N46" i="16" s="1"/>
  <c r="G46" i="16"/>
  <c r="F46" i="16"/>
  <c r="E46" i="16"/>
  <c r="K46" i="16" s="1"/>
  <c r="D46" i="16"/>
  <c r="J46" i="16" s="1"/>
  <c r="C46" i="16"/>
  <c r="I46" i="16" s="1"/>
  <c r="H44" i="16"/>
  <c r="N44" i="16" s="1"/>
  <c r="G44" i="16"/>
  <c r="M44" i="16" s="1"/>
  <c r="F44" i="16"/>
  <c r="L44" i="16" s="1"/>
  <c r="E44" i="16"/>
  <c r="K44" i="16" s="1"/>
  <c r="D44" i="16"/>
  <c r="J44" i="16" s="1"/>
  <c r="C44" i="16"/>
  <c r="I44" i="16" s="1"/>
  <c r="H43" i="16"/>
  <c r="N43" i="16" s="1"/>
  <c r="G43" i="16"/>
  <c r="M43" i="16" s="1"/>
  <c r="F43" i="16"/>
  <c r="L43" i="16" s="1"/>
  <c r="E43" i="16"/>
  <c r="K43" i="16" s="1"/>
  <c r="D43" i="16"/>
  <c r="J43" i="16" s="1"/>
  <c r="C43" i="16"/>
  <c r="I43" i="16" s="1"/>
  <c r="H42" i="16"/>
  <c r="N42" i="16" s="1"/>
  <c r="G42" i="16"/>
  <c r="M42" i="16" s="1"/>
  <c r="F42" i="16"/>
  <c r="E42" i="16"/>
  <c r="K42" i="16" s="1"/>
  <c r="D42" i="16"/>
  <c r="C42" i="16"/>
  <c r="I42" i="16" s="1"/>
  <c r="H41" i="16"/>
  <c r="N41" i="16" s="1"/>
  <c r="G41" i="16"/>
  <c r="M41" i="16" s="1"/>
  <c r="F41" i="16"/>
  <c r="L41" i="16" s="1"/>
  <c r="E41" i="16"/>
  <c r="K41" i="16" s="1"/>
  <c r="D41" i="16"/>
  <c r="J41" i="16" s="1"/>
  <c r="C41" i="16"/>
  <c r="I41" i="16" s="1"/>
  <c r="H40" i="16"/>
  <c r="G40" i="16"/>
  <c r="F40" i="16"/>
  <c r="L40" i="16" s="1"/>
  <c r="E40" i="16"/>
  <c r="K40" i="16" s="1"/>
  <c r="D40" i="16"/>
  <c r="J40" i="16" s="1"/>
  <c r="C40" i="16"/>
  <c r="I40" i="16" s="1"/>
  <c r="H39" i="16"/>
  <c r="N39" i="16" s="1"/>
  <c r="G39" i="16"/>
  <c r="M39" i="16" s="1"/>
  <c r="F39" i="16"/>
  <c r="L39" i="16" s="1"/>
  <c r="E39" i="16"/>
  <c r="K39" i="16" s="1"/>
  <c r="D39" i="16"/>
  <c r="C39" i="16"/>
  <c r="H38" i="16"/>
  <c r="N38" i="16" s="1"/>
  <c r="G38" i="16"/>
  <c r="M38" i="16" s="1"/>
  <c r="F38" i="16"/>
  <c r="L38" i="16" s="1"/>
  <c r="E38" i="16"/>
  <c r="K38" i="16" s="1"/>
  <c r="D38" i="16"/>
  <c r="J38" i="16" s="1"/>
  <c r="C38" i="16"/>
  <c r="I38" i="16" s="1"/>
  <c r="H37" i="16"/>
  <c r="N37" i="16" s="1"/>
  <c r="G37" i="16"/>
  <c r="F37" i="16"/>
  <c r="E37" i="16"/>
  <c r="K37" i="16" s="1"/>
  <c r="D37" i="16"/>
  <c r="C37" i="16"/>
  <c r="I37" i="16" s="1"/>
  <c r="H36" i="16"/>
  <c r="N36" i="16" s="1"/>
  <c r="G36" i="16"/>
  <c r="M36" i="16" s="1"/>
  <c r="F36" i="16"/>
  <c r="L36" i="16" s="1"/>
  <c r="E36" i="16"/>
  <c r="K36" i="16" s="1"/>
  <c r="D36" i="16"/>
  <c r="J36" i="16" s="1"/>
  <c r="C36" i="16"/>
  <c r="I36" i="16" s="1"/>
  <c r="H35" i="16"/>
  <c r="N35" i="16" s="1"/>
  <c r="G35" i="16"/>
  <c r="M35" i="16" s="1"/>
  <c r="F35" i="16"/>
  <c r="L35" i="16" s="1"/>
  <c r="E35" i="16"/>
  <c r="K35" i="16" s="1"/>
  <c r="D35" i="16"/>
  <c r="J35" i="16" s="1"/>
  <c r="C35" i="16"/>
  <c r="I35" i="16" s="1"/>
  <c r="H34" i="16"/>
  <c r="N34" i="16" s="1"/>
  <c r="G34" i="16"/>
  <c r="M34" i="16" s="1"/>
  <c r="F34" i="16"/>
  <c r="E34" i="16"/>
  <c r="K34" i="16" s="1"/>
  <c r="D34" i="16"/>
  <c r="C34" i="16"/>
  <c r="I34" i="16" s="1"/>
  <c r="H33" i="16"/>
  <c r="N33" i="16" s="1"/>
  <c r="G33" i="16"/>
  <c r="M33" i="16" s="1"/>
  <c r="F33" i="16"/>
  <c r="L33" i="16" s="1"/>
  <c r="E33" i="16"/>
  <c r="K33" i="16" s="1"/>
  <c r="D33" i="16"/>
  <c r="J33" i="16" s="1"/>
  <c r="C33" i="16"/>
  <c r="I33" i="16" s="1"/>
  <c r="H32" i="16"/>
  <c r="G32" i="16"/>
  <c r="F32" i="16"/>
  <c r="L32" i="16" s="1"/>
  <c r="K32" i="16"/>
  <c r="D32" i="16"/>
  <c r="J32" i="16" s="1"/>
  <c r="C32" i="16"/>
  <c r="I32" i="16" s="1"/>
  <c r="H31" i="16"/>
  <c r="N31" i="16" s="1"/>
  <c r="G31" i="16"/>
  <c r="M31" i="16" s="1"/>
  <c r="F31" i="16"/>
  <c r="L31" i="16" s="1"/>
  <c r="E31" i="16"/>
  <c r="K31" i="16" s="1"/>
  <c r="D31" i="16"/>
  <c r="C31" i="16"/>
  <c r="H29" i="16"/>
  <c r="N29" i="16" s="1"/>
  <c r="G29" i="16"/>
  <c r="M29" i="16" s="1"/>
  <c r="F29" i="16"/>
  <c r="L29" i="16" s="1"/>
  <c r="E29" i="16"/>
  <c r="K29" i="16" s="1"/>
  <c r="D29" i="16"/>
  <c r="J29" i="16" s="1"/>
  <c r="C29" i="16"/>
  <c r="I29" i="16" s="1"/>
  <c r="H28" i="16"/>
  <c r="N28" i="16" s="1"/>
  <c r="G28" i="16"/>
  <c r="F28" i="16"/>
  <c r="E28" i="16"/>
  <c r="K28" i="16" s="1"/>
  <c r="D28" i="16"/>
  <c r="J28" i="16" s="1"/>
  <c r="C28" i="16"/>
  <c r="I28" i="16" s="1"/>
  <c r="H27" i="16"/>
  <c r="N27" i="16" s="1"/>
  <c r="G27" i="16"/>
  <c r="M27" i="16" s="1"/>
  <c r="F27" i="16"/>
  <c r="L27" i="16" s="1"/>
  <c r="E27" i="16"/>
  <c r="K27" i="16" s="1"/>
  <c r="D27" i="16"/>
  <c r="J27" i="16" s="1"/>
  <c r="C27" i="16"/>
  <c r="I27" i="16" s="1"/>
  <c r="H26" i="16"/>
  <c r="N26" i="16" s="1"/>
  <c r="G26" i="16"/>
  <c r="M26" i="16" s="1"/>
  <c r="F26" i="16"/>
  <c r="L26" i="16" s="1"/>
  <c r="E26" i="16"/>
  <c r="K26" i="16" s="1"/>
  <c r="D26" i="16"/>
  <c r="J26" i="16" s="1"/>
  <c r="C26" i="16"/>
  <c r="I26" i="16" s="1"/>
  <c r="H25" i="16"/>
  <c r="N25" i="16" s="1"/>
  <c r="G25" i="16"/>
  <c r="M25" i="16" s="1"/>
  <c r="F25" i="16"/>
  <c r="E25" i="16"/>
  <c r="K25" i="16" s="1"/>
  <c r="D25" i="16"/>
  <c r="C25" i="16"/>
  <c r="I25" i="16" s="1"/>
  <c r="H24" i="16"/>
  <c r="N24" i="16" s="1"/>
  <c r="G24" i="16"/>
  <c r="M24" i="16" s="1"/>
  <c r="F24" i="16"/>
  <c r="L24" i="16" s="1"/>
  <c r="D24" i="16"/>
  <c r="C24" i="16"/>
  <c r="I24" i="16" s="1"/>
  <c r="H23" i="16"/>
  <c r="G23" i="16"/>
  <c r="F23" i="16"/>
  <c r="L23" i="16" s="1"/>
  <c r="E23" i="16"/>
  <c r="K23" i="16" s="1"/>
  <c r="D23" i="16"/>
  <c r="J23" i="16" s="1"/>
  <c r="C23" i="16"/>
  <c r="H22" i="16"/>
  <c r="G22" i="16"/>
  <c r="M22" i="16" s="1"/>
  <c r="F22" i="16"/>
  <c r="E22" i="16"/>
  <c r="D22" i="16"/>
  <c r="C22" i="16"/>
  <c r="H21" i="16"/>
  <c r="N21" i="16" s="1"/>
  <c r="G21" i="16"/>
  <c r="F21" i="16"/>
  <c r="E21" i="16"/>
  <c r="K21" i="16" s="1"/>
  <c r="D21" i="16"/>
  <c r="C21" i="16"/>
  <c r="H20" i="16"/>
  <c r="N20" i="16" s="1"/>
  <c r="G20" i="16"/>
  <c r="F20" i="16"/>
  <c r="E20" i="16"/>
  <c r="D20" i="16"/>
  <c r="C20" i="16"/>
  <c r="I20" i="16" s="1"/>
  <c r="H19" i="16"/>
  <c r="G19" i="16"/>
  <c r="F19" i="16"/>
  <c r="L19" i="16" s="1"/>
  <c r="E19" i="16"/>
  <c r="K19" i="16" s="1"/>
  <c r="D19" i="16"/>
  <c r="J19" i="16" s="1"/>
  <c r="C19" i="16"/>
  <c r="H18" i="16"/>
  <c r="G18" i="16"/>
  <c r="M18" i="16" s="1"/>
  <c r="F18" i="16"/>
  <c r="E18" i="16"/>
  <c r="D18" i="16"/>
  <c r="J18" i="16" s="1"/>
  <c r="C18" i="16"/>
  <c r="I18" i="16" s="1"/>
  <c r="H17" i="16"/>
  <c r="N17" i="16" s="1"/>
  <c r="G17" i="16"/>
  <c r="F17" i="16"/>
  <c r="E17" i="16"/>
  <c r="K17" i="16" s="1"/>
  <c r="D17" i="16"/>
  <c r="C17" i="16"/>
  <c r="H16" i="16"/>
  <c r="N16" i="16" s="1"/>
  <c r="G16" i="16"/>
  <c r="M16" i="16" s="1"/>
  <c r="F16" i="16"/>
  <c r="L16" i="16" s="1"/>
  <c r="E16" i="16"/>
  <c r="D16" i="16"/>
  <c r="C16" i="16"/>
  <c r="I16" i="16" s="1"/>
  <c r="H15" i="16"/>
  <c r="G15" i="16"/>
  <c r="F15" i="16"/>
  <c r="L15" i="16" s="1"/>
  <c r="E15" i="16"/>
  <c r="K15" i="16" s="1"/>
  <c r="D15" i="16"/>
  <c r="J15" i="16" s="1"/>
  <c r="C15" i="16"/>
  <c r="H14" i="16"/>
  <c r="G14" i="16"/>
  <c r="M14" i="16" s="1"/>
  <c r="F14" i="16"/>
  <c r="E14" i="16"/>
  <c r="D14" i="16"/>
  <c r="C14" i="16"/>
  <c r="H13" i="16"/>
  <c r="N13" i="16" s="1"/>
  <c r="G13" i="16"/>
  <c r="F13" i="16"/>
  <c r="E13" i="16"/>
  <c r="K13" i="16" s="1"/>
  <c r="D13" i="16"/>
  <c r="C13" i="16"/>
  <c r="H11" i="16"/>
  <c r="N11" i="16" s="1"/>
  <c r="G11" i="16"/>
  <c r="F11" i="16"/>
  <c r="D11" i="16"/>
  <c r="C11" i="16"/>
  <c r="I11" i="16" s="1"/>
  <c r="H10" i="16"/>
  <c r="G10" i="16"/>
  <c r="F10" i="16"/>
  <c r="L10" i="16" s="1"/>
  <c r="E10" i="16"/>
  <c r="K10" i="16" s="1"/>
  <c r="D10" i="16"/>
  <c r="C10" i="16"/>
  <c r="AJ52" i="25"/>
  <c r="AK52" i="25"/>
  <c r="AJ38" i="25"/>
  <c r="AK38" i="25"/>
  <c r="AJ23" i="25"/>
  <c r="AK23" i="25"/>
  <c r="AJ5" i="25"/>
  <c r="AK5" i="25"/>
  <c r="AK4" i="25" s="1"/>
  <c r="AJ52" i="24"/>
  <c r="AK52" i="24"/>
  <c r="AJ38" i="24"/>
  <c r="AJ38" i="26" s="1"/>
  <c r="AK38" i="24"/>
  <c r="AJ23" i="24"/>
  <c r="AK23" i="24"/>
  <c r="AJ5" i="24"/>
  <c r="AK5" i="24"/>
  <c r="AJ52" i="22"/>
  <c r="AK52" i="22"/>
  <c r="AJ38" i="22"/>
  <c r="AK38" i="22"/>
  <c r="AJ23" i="22"/>
  <c r="AK23" i="22"/>
  <c r="AL23" i="22"/>
  <c r="AJ5" i="22"/>
  <c r="AK5" i="22"/>
  <c r="AJ52" i="21"/>
  <c r="AK52" i="21"/>
  <c r="AJ38" i="21"/>
  <c r="AK38" i="21"/>
  <c r="AJ23" i="21"/>
  <c r="AK23" i="21"/>
  <c r="AJ5" i="21"/>
  <c r="AK5" i="21"/>
  <c r="AJ52" i="20"/>
  <c r="AK52" i="20"/>
  <c r="AJ38" i="20"/>
  <c r="AK38" i="20"/>
  <c r="AK23" i="20"/>
  <c r="AJ23" i="20"/>
  <c r="AJ5" i="20"/>
  <c r="AJ5" i="26" s="1"/>
  <c r="AK5" i="20"/>
  <c r="AJ52" i="19"/>
  <c r="AK52" i="19"/>
  <c r="AJ38" i="19"/>
  <c r="AK38" i="19"/>
  <c r="AJ23" i="19"/>
  <c r="AK23" i="19"/>
  <c r="AJ5" i="19"/>
  <c r="AK5" i="19"/>
  <c r="AJ52" i="18"/>
  <c r="AK52" i="18"/>
  <c r="AJ38" i="18"/>
  <c r="AK38" i="18"/>
  <c r="AJ23" i="18"/>
  <c r="AK23" i="18"/>
  <c r="AJ5" i="18"/>
  <c r="AK5" i="18"/>
  <c r="AJ52" i="10"/>
  <c r="AK52" i="10"/>
  <c r="AJ38" i="10"/>
  <c r="AK38" i="10"/>
  <c r="AJ23" i="10"/>
  <c r="AK23" i="10"/>
  <c r="AJ5" i="10"/>
  <c r="AK5" i="10"/>
  <c r="AK4" i="10" s="1"/>
  <c r="AJ52" i="9"/>
  <c r="AK52" i="9"/>
  <c r="AJ38" i="9"/>
  <c r="AK38" i="9"/>
  <c r="AJ23" i="9"/>
  <c r="AK23" i="9"/>
  <c r="AJ5" i="9"/>
  <c r="AK5" i="9"/>
  <c r="AJ52" i="5"/>
  <c r="AK52" i="5"/>
  <c r="AJ38" i="5"/>
  <c r="AK38" i="5"/>
  <c r="AJ23" i="5"/>
  <c r="AJ23" i="13" s="1"/>
  <c r="AK23" i="5"/>
  <c r="AJ5" i="5"/>
  <c r="AK5" i="5"/>
  <c r="AJ52" i="4"/>
  <c r="AK52" i="4"/>
  <c r="AJ38" i="4"/>
  <c r="AK38" i="4"/>
  <c r="AJ23" i="4"/>
  <c r="AJ4" i="4" s="1"/>
  <c r="AK23" i="4"/>
  <c r="AJ5" i="4"/>
  <c r="AK5" i="4"/>
  <c r="AJ52" i="2"/>
  <c r="AK52" i="2"/>
  <c r="AJ38" i="2"/>
  <c r="AK38" i="2"/>
  <c r="AJ23" i="2"/>
  <c r="AK23" i="2"/>
  <c r="AJ5" i="2"/>
  <c r="AK5" i="2"/>
  <c r="AJ52" i="3"/>
  <c r="AK52" i="3"/>
  <c r="AJ38" i="3"/>
  <c r="AK38" i="3"/>
  <c r="AJ23" i="3"/>
  <c r="AK23" i="3"/>
  <c r="AJ5" i="3"/>
  <c r="AK5" i="3"/>
  <c r="AJ6" i="26"/>
  <c r="AK6" i="26"/>
  <c r="AJ7" i="26"/>
  <c r="AK7" i="26"/>
  <c r="AJ8" i="26"/>
  <c r="AK8" i="26"/>
  <c r="AJ9" i="26"/>
  <c r="AK9" i="26"/>
  <c r="AJ10" i="26"/>
  <c r="AK10" i="26"/>
  <c r="AJ11" i="26"/>
  <c r="AK11" i="26"/>
  <c r="AJ12" i="26"/>
  <c r="AK12" i="26"/>
  <c r="AJ13" i="26"/>
  <c r="AK13" i="26"/>
  <c r="AJ14" i="26"/>
  <c r="AK14" i="26"/>
  <c r="AJ15" i="26"/>
  <c r="AK15" i="26"/>
  <c r="AJ16" i="26"/>
  <c r="AK16" i="26"/>
  <c r="AJ17" i="26"/>
  <c r="AK17" i="26"/>
  <c r="AJ18" i="26"/>
  <c r="AK18" i="26"/>
  <c r="AJ19" i="26"/>
  <c r="AK19" i="26"/>
  <c r="AJ20" i="26"/>
  <c r="AK20" i="26"/>
  <c r="AJ21" i="26"/>
  <c r="AK21" i="26"/>
  <c r="AJ22" i="26"/>
  <c r="AK22" i="26"/>
  <c r="AJ24" i="26"/>
  <c r="AK24" i="26"/>
  <c r="AJ25" i="26"/>
  <c r="AK25" i="26"/>
  <c r="AJ26" i="26"/>
  <c r="AK26" i="26"/>
  <c r="AJ27" i="26"/>
  <c r="AK27" i="26"/>
  <c r="AJ28" i="26"/>
  <c r="AK28" i="26"/>
  <c r="AJ29" i="26"/>
  <c r="AK29" i="26"/>
  <c r="AJ30" i="26"/>
  <c r="AK30" i="26"/>
  <c r="AJ31" i="26"/>
  <c r="AK31" i="26"/>
  <c r="AJ32" i="26"/>
  <c r="AK32" i="26"/>
  <c r="AJ33" i="26"/>
  <c r="AK33" i="26"/>
  <c r="AJ34" i="26"/>
  <c r="AK34" i="26"/>
  <c r="AJ35" i="26"/>
  <c r="AK35" i="26"/>
  <c r="AJ36" i="26"/>
  <c r="AK36" i="26"/>
  <c r="AJ37" i="26"/>
  <c r="AK37" i="26"/>
  <c r="AJ39" i="26"/>
  <c r="AK39" i="26"/>
  <c r="AJ40" i="26"/>
  <c r="AK40" i="26"/>
  <c r="AJ41" i="26"/>
  <c r="AK41" i="26"/>
  <c r="AJ42" i="26"/>
  <c r="AK42" i="26"/>
  <c r="AJ43" i="26"/>
  <c r="AK43" i="26"/>
  <c r="AJ44" i="26"/>
  <c r="AK44" i="26"/>
  <c r="AJ45" i="26"/>
  <c r="AK45" i="26"/>
  <c r="AJ46" i="26"/>
  <c r="AK46" i="26"/>
  <c r="AJ47" i="26"/>
  <c r="AK47" i="26"/>
  <c r="AJ48" i="26"/>
  <c r="AK48" i="26"/>
  <c r="AJ49" i="26"/>
  <c r="AK49" i="26"/>
  <c r="AJ50" i="26"/>
  <c r="AK50" i="26"/>
  <c r="AJ51" i="26"/>
  <c r="AK51" i="26"/>
  <c r="AJ53" i="26"/>
  <c r="AK53" i="26"/>
  <c r="AJ54" i="26"/>
  <c r="AK54" i="26"/>
  <c r="AJ55" i="26"/>
  <c r="AK55" i="26"/>
  <c r="AJ56" i="26"/>
  <c r="AK56" i="26"/>
  <c r="AJ57" i="26"/>
  <c r="AK57" i="26"/>
  <c r="AJ58" i="26"/>
  <c r="AK58" i="26"/>
  <c r="AJ59" i="26"/>
  <c r="AK59" i="26"/>
  <c r="AJ60" i="26"/>
  <c r="AK60" i="26"/>
  <c r="AJ61" i="26"/>
  <c r="AK61" i="26"/>
  <c r="AJ62" i="26"/>
  <c r="AK62" i="26"/>
  <c r="AJ6" i="13"/>
  <c r="AK6" i="13"/>
  <c r="AJ7" i="13"/>
  <c r="AK7" i="13"/>
  <c r="AJ8" i="13"/>
  <c r="AK8" i="13"/>
  <c r="AJ9" i="13"/>
  <c r="AK9" i="13"/>
  <c r="AJ10" i="13"/>
  <c r="AK10" i="13"/>
  <c r="AJ11" i="13"/>
  <c r="AK11" i="13"/>
  <c r="AJ12" i="13"/>
  <c r="AK12" i="13"/>
  <c r="AJ13" i="13"/>
  <c r="AK13" i="13"/>
  <c r="AJ14" i="13"/>
  <c r="AK14" i="13"/>
  <c r="AJ15" i="13"/>
  <c r="AK15" i="13"/>
  <c r="AJ16" i="13"/>
  <c r="AK16" i="13"/>
  <c r="AJ17" i="13"/>
  <c r="AK17" i="13"/>
  <c r="AJ18" i="13"/>
  <c r="AK18" i="13"/>
  <c r="AJ19" i="13"/>
  <c r="AK19" i="13"/>
  <c r="AJ20" i="13"/>
  <c r="AK20" i="13"/>
  <c r="AJ21" i="13"/>
  <c r="AK21" i="13"/>
  <c r="AJ22" i="13"/>
  <c r="AK22" i="13"/>
  <c r="AJ24" i="13"/>
  <c r="AK24" i="13"/>
  <c r="AJ25" i="13"/>
  <c r="AK25" i="13"/>
  <c r="AJ26" i="13"/>
  <c r="AK26" i="13"/>
  <c r="AJ27" i="13"/>
  <c r="AK27" i="13"/>
  <c r="AJ28" i="13"/>
  <c r="AK28" i="13"/>
  <c r="AJ29" i="13"/>
  <c r="AK29" i="13"/>
  <c r="AJ30" i="13"/>
  <c r="AK30" i="13"/>
  <c r="AJ31" i="13"/>
  <c r="AK31" i="13"/>
  <c r="AJ32" i="13"/>
  <c r="AK32" i="13"/>
  <c r="AJ33" i="13"/>
  <c r="AK33" i="13"/>
  <c r="AJ34" i="13"/>
  <c r="AK34" i="13"/>
  <c r="AJ35" i="13"/>
  <c r="AK35" i="13"/>
  <c r="AJ36" i="13"/>
  <c r="AK36" i="13"/>
  <c r="AJ37" i="13"/>
  <c r="AK37" i="13"/>
  <c r="AJ38" i="13"/>
  <c r="AJ39" i="13"/>
  <c r="AK39" i="13"/>
  <c r="AJ40" i="13"/>
  <c r="AK40" i="13"/>
  <c r="AJ41" i="13"/>
  <c r="AK41" i="13"/>
  <c r="AJ42" i="13"/>
  <c r="AK42" i="13"/>
  <c r="AJ43" i="13"/>
  <c r="AK43" i="13"/>
  <c r="AJ44" i="13"/>
  <c r="AK44" i="13"/>
  <c r="AJ45" i="13"/>
  <c r="AK45" i="13"/>
  <c r="AJ46" i="13"/>
  <c r="AK46" i="13"/>
  <c r="AJ47" i="13"/>
  <c r="AK47" i="13"/>
  <c r="AJ48" i="13"/>
  <c r="AK48" i="13"/>
  <c r="AJ49" i="13"/>
  <c r="AK49" i="13"/>
  <c r="AJ50" i="13"/>
  <c r="AK50" i="13"/>
  <c r="AJ51" i="13"/>
  <c r="AK51" i="13"/>
  <c r="AJ53" i="13"/>
  <c r="AK53" i="13"/>
  <c r="AJ54" i="13"/>
  <c r="AK54" i="13"/>
  <c r="AJ55" i="13"/>
  <c r="AK55" i="13"/>
  <c r="AJ56" i="13"/>
  <c r="AK56" i="13"/>
  <c r="AJ57" i="13"/>
  <c r="AK57" i="13"/>
  <c r="AJ58" i="13"/>
  <c r="AK58" i="13"/>
  <c r="AJ59" i="13"/>
  <c r="AK59" i="13"/>
  <c r="AJ60" i="13"/>
  <c r="AK60" i="13"/>
  <c r="AJ61" i="13"/>
  <c r="AK61" i="13"/>
  <c r="AJ62" i="13"/>
  <c r="AK62" i="13"/>
  <c r="AJ63" i="13"/>
  <c r="AK63" i="13"/>
  <c r="AH5" i="21"/>
  <c r="AH4" i="21" s="1"/>
  <c r="AI5" i="21"/>
  <c r="AI4" i="21" s="1"/>
  <c r="AH23" i="21"/>
  <c r="AI23" i="21"/>
  <c r="AJ52" i="1"/>
  <c r="AK52" i="1"/>
  <c r="AJ38" i="1"/>
  <c r="AK38" i="1"/>
  <c r="AK38" i="13" s="1"/>
  <c r="AJ23" i="1"/>
  <c r="AK23" i="1"/>
  <c r="AJ5" i="1"/>
  <c r="AJ5" i="13" s="1"/>
  <c r="AK5" i="1"/>
  <c r="AI52" i="25"/>
  <c r="AI38" i="25"/>
  <c r="AI23" i="25"/>
  <c r="AI52" i="24"/>
  <c r="AI38" i="24"/>
  <c r="AI23" i="24"/>
  <c r="AI52" i="22"/>
  <c r="AI38" i="22"/>
  <c r="AI23" i="22"/>
  <c r="AI52" i="21"/>
  <c r="AI38" i="21"/>
  <c r="L28" i="16" l="1"/>
  <c r="L37" i="16"/>
  <c r="L46" i="16"/>
  <c r="L54" i="16"/>
  <c r="L63" i="16"/>
  <c r="L11" i="16"/>
  <c r="L20" i="16"/>
  <c r="I31" i="16"/>
  <c r="I39" i="16"/>
  <c r="I48" i="16"/>
  <c r="I56" i="16"/>
  <c r="I65" i="16"/>
  <c r="I14" i="16"/>
  <c r="I22" i="16"/>
  <c r="M32" i="16"/>
  <c r="M40" i="16"/>
  <c r="M49" i="16"/>
  <c r="M57" i="16"/>
  <c r="M66" i="16"/>
  <c r="J25" i="16"/>
  <c r="J34" i="16"/>
  <c r="J42" i="16"/>
  <c r="J51" i="16"/>
  <c r="J60" i="16"/>
  <c r="J68" i="16"/>
  <c r="I67" i="16"/>
  <c r="L25" i="16"/>
  <c r="L34" i="16"/>
  <c r="L42" i="16"/>
  <c r="L51" i="16"/>
  <c r="L60" i="16"/>
  <c r="L68" i="16"/>
  <c r="M28" i="16"/>
  <c r="M37" i="16"/>
  <c r="M46" i="16"/>
  <c r="M54" i="16"/>
  <c r="M63" i="16"/>
  <c r="M11" i="16"/>
  <c r="M20" i="16"/>
  <c r="J31" i="16"/>
  <c r="J39" i="16"/>
  <c r="J48" i="16"/>
  <c r="J56" i="16"/>
  <c r="N63" i="16"/>
  <c r="J65" i="16"/>
  <c r="J14" i="16"/>
  <c r="J22" i="16"/>
  <c r="N32" i="16"/>
  <c r="N40" i="16"/>
  <c r="N49" i="16"/>
  <c r="N57" i="16"/>
  <c r="L65" i="16"/>
  <c r="N66" i="16"/>
  <c r="M10" i="16"/>
  <c r="I13" i="16"/>
  <c r="K14" i="16"/>
  <c r="M15" i="16"/>
  <c r="I17" i="16"/>
  <c r="K18" i="16"/>
  <c r="M19" i="16"/>
  <c r="I21" i="16"/>
  <c r="K22" i="16"/>
  <c r="M23" i="16"/>
  <c r="J13" i="16"/>
  <c r="L14" i="16"/>
  <c r="N15" i="16"/>
  <c r="J17" i="16"/>
  <c r="L18" i="16"/>
  <c r="N19" i="16"/>
  <c r="J21" i="16"/>
  <c r="L22" i="16"/>
  <c r="N23" i="16"/>
  <c r="I10" i="16"/>
  <c r="K11" i="16"/>
  <c r="M13" i="16"/>
  <c r="I15" i="16"/>
  <c r="K16" i="16"/>
  <c r="M17" i="16"/>
  <c r="I19" i="16"/>
  <c r="K20" i="16"/>
  <c r="M21" i="16"/>
  <c r="I23" i="16"/>
  <c r="J37" i="16"/>
  <c r="J11" i="16"/>
  <c r="L13" i="16"/>
  <c r="N14" i="16"/>
  <c r="J16" i="16"/>
  <c r="L17" i="16"/>
  <c r="N18" i="16"/>
  <c r="J20" i="16"/>
  <c r="L21" i="16"/>
  <c r="N22" i="16"/>
  <c r="J24" i="16"/>
  <c r="AJ4" i="25"/>
  <c r="AK4" i="24"/>
  <c r="AJ4" i="24"/>
  <c r="AJ4" i="22"/>
  <c r="AJ52" i="26"/>
  <c r="AK4" i="22"/>
  <c r="AK52" i="26"/>
  <c r="AK4" i="21"/>
  <c r="AJ4" i="21"/>
  <c r="AK4" i="20"/>
  <c r="AK23" i="26"/>
  <c r="AJ23" i="26"/>
  <c r="AJ4" i="20"/>
  <c r="AK38" i="26"/>
  <c r="AK5" i="26"/>
  <c r="AK4" i="19"/>
  <c r="AJ4" i="19"/>
  <c r="AK4" i="18"/>
  <c r="AJ4" i="18"/>
  <c r="AJ4" i="10"/>
  <c r="AJ4" i="9"/>
  <c r="AK4" i="9"/>
  <c r="AK4" i="5"/>
  <c r="AJ4" i="5"/>
  <c r="AK4" i="4"/>
  <c r="AJ52" i="13"/>
  <c r="AK4" i="2"/>
  <c r="AJ4" i="2"/>
  <c r="AK5" i="13"/>
  <c r="AK52" i="13"/>
  <c r="AJ4" i="3"/>
  <c r="AK23" i="13"/>
  <c r="AK4" i="3"/>
  <c r="AJ4" i="1"/>
  <c r="AK4" i="1"/>
  <c r="AI23" i="20"/>
  <c r="AI38" i="20"/>
  <c r="AI52" i="20"/>
  <c r="AI5" i="19"/>
  <c r="AI52" i="19"/>
  <c r="AI38" i="19"/>
  <c r="AI23" i="19"/>
  <c r="AI52" i="18"/>
  <c r="AI38" i="18"/>
  <c r="AI23" i="18"/>
  <c r="AI52" i="10"/>
  <c r="AI38" i="10"/>
  <c r="AI23" i="10"/>
  <c r="AI52" i="9"/>
  <c r="AI38" i="9"/>
  <c r="AI23" i="9"/>
  <c r="AI52" i="5"/>
  <c r="AI38" i="5"/>
  <c r="AI23" i="5"/>
  <c r="AI52" i="4"/>
  <c r="AI38" i="4"/>
  <c r="AI23" i="4"/>
  <c r="AI23" i="2"/>
  <c r="AI38" i="2"/>
  <c r="AI52" i="2"/>
  <c r="AI23" i="3"/>
  <c r="AI38" i="3"/>
  <c r="AI52" i="3"/>
  <c r="AI52" i="1"/>
  <c r="AI38" i="1"/>
  <c r="AI23" i="1"/>
  <c r="AK4" i="26" l="1"/>
  <c r="AJ4" i="26"/>
  <c r="AJ4" i="13"/>
  <c r="AK4" i="13"/>
  <c r="AH6" i="13"/>
  <c r="AI6" i="13"/>
  <c r="AH7" i="13"/>
  <c r="AI7" i="13"/>
  <c r="AH8" i="13"/>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22" i="13"/>
  <c r="AI22" i="13"/>
  <c r="AI23" i="13"/>
  <c r="AH24" i="13"/>
  <c r="AI24" i="13"/>
  <c r="AH25" i="13"/>
  <c r="AI25" i="13"/>
  <c r="AH26" i="13"/>
  <c r="AI26" i="13"/>
  <c r="AH27" i="13"/>
  <c r="AI27" i="13"/>
  <c r="AH28" i="13"/>
  <c r="AI28" i="13"/>
  <c r="AH29" i="13"/>
  <c r="AI29" i="13"/>
  <c r="AH30" i="13"/>
  <c r="AI30" i="13"/>
  <c r="AH31" i="13"/>
  <c r="AI31" i="13"/>
  <c r="AH32" i="13"/>
  <c r="AI32" i="13"/>
  <c r="AH33" i="13"/>
  <c r="AI33" i="13"/>
  <c r="AH34" i="13"/>
  <c r="AI34" i="13"/>
  <c r="AH35" i="13"/>
  <c r="AI35" i="13"/>
  <c r="AH36" i="13"/>
  <c r="AI36" i="13"/>
  <c r="AH37" i="13"/>
  <c r="AI37" i="13"/>
  <c r="AI38" i="13"/>
  <c r="AH39" i="13"/>
  <c r="AI39" i="13"/>
  <c r="AH40" i="13"/>
  <c r="AI40" i="13"/>
  <c r="AH41" i="13"/>
  <c r="AI41" i="13"/>
  <c r="AH42" i="13"/>
  <c r="AI42" i="13"/>
  <c r="AH43" i="13"/>
  <c r="AI43" i="13"/>
  <c r="AH44" i="13"/>
  <c r="AI44" i="13"/>
  <c r="AH45" i="13"/>
  <c r="AI45" i="13"/>
  <c r="AH46" i="13"/>
  <c r="AI46" i="13"/>
  <c r="AH47" i="13"/>
  <c r="AI47" i="13"/>
  <c r="AH48" i="13"/>
  <c r="AI48" i="13"/>
  <c r="AH49" i="13"/>
  <c r="AI49" i="13"/>
  <c r="AH50" i="13"/>
  <c r="AI50" i="13"/>
  <c r="AH51" i="13"/>
  <c r="AI51" i="13"/>
  <c r="AI52" i="13"/>
  <c r="AH53" i="13"/>
  <c r="AI53" i="13"/>
  <c r="AH54" i="13"/>
  <c r="AI54" i="13"/>
  <c r="AH55" i="13"/>
  <c r="AI55" i="13"/>
  <c r="AH56" i="13"/>
  <c r="AI56" i="13"/>
  <c r="AH57" i="13"/>
  <c r="AI57" i="13"/>
  <c r="AH58" i="13"/>
  <c r="AI58" i="13"/>
  <c r="AH59" i="13"/>
  <c r="AI59" i="13"/>
  <c r="AH60" i="13"/>
  <c r="AI60" i="13"/>
  <c r="AH61" i="13"/>
  <c r="AI61" i="13"/>
  <c r="AH62" i="13"/>
  <c r="AI62" i="13"/>
  <c r="AH63" i="13"/>
  <c r="AI63" i="13"/>
  <c r="AH5" i="26"/>
  <c r="AH6" i="26"/>
  <c r="AI6" i="26"/>
  <c r="AH7" i="26"/>
  <c r="AI7" i="26"/>
  <c r="AH8" i="26"/>
  <c r="AI8" i="26"/>
  <c r="AH9" i="26"/>
  <c r="AI9" i="26"/>
  <c r="AH10" i="26"/>
  <c r="AI10" i="26"/>
  <c r="AH11" i="26"/>
  <c r="AI11" i="26"/>
  <c r="AH12" i="26"/>
  <c r="AI12" i="26"/>
  <c r="AH13" i="26"/>
  <c r="AI13" i="26"/>
  <c r="AH14" i="26"/>
  <c r="AI14" i="26"/>
  <c r="AH15" i="26"/>
  <c r="AI15" i="26"/>
  <c r="AH16" i="26"/>
  <c r="AI16" i="26"/>
  <c r="AH17" i="26"/>
  <c r="AI17" i="26"/>
  <c r="AH18" i="26"/>
  <c r="AI18" i="26"/>
  <c r="AH19" i="26"/>
  <c r="AI19" i="26"/>
  <c r="AH20" i="26"/>
  <c r="AI20" i="26"/>
  <c r="AH21" i="26"/>
  <c r="AI21" i="26"/>
  <c r="AH22" i="26"/>
  <c r="AI22" i="26"/>
  <c r="AI23" i="26"/>
  <c r="AH24" i="26"/>
  <c r="AI24" i="26"/>
  <c r="AH25" i="26"/>
  <c r="AI25" i="26"/>
  <c r="AH26" i="26"/>
  <c r="AI26" i="26"/>
  <c r="AH27" i="26"/>
  <c r="AI27" i="26"/>
  <c r="AH28" i="26"/>
  <c r="AI28" i="26"/>
  <c r="AH29" i="26"/>
  <c r="AI29" i="26"/>
  <c r="AH30" i="26"/>
  <c r="AI30" i="26"/>
  <c r="AH31" i="26"/>
  <c r="AI31" i="26"/>
  <c r="AH32" i="26"/>
  <c r="AI32" i="26"/>
  <c r="AH33" i="26"/>
  <c r="AI33" i="26"/>
  <c r="AH34" i="26"/>
  <c r="AI34" i="26"/>
  <c r="AH35" i="26"/>
  <c r="AI35" i="26"/>
  <c r="AH36" i="26"/>
  <c r="AI36" i="26"/>
  <c r="AH37" i="26"/>
  <c r="AI37" i="26"/>
  <c r="AI38" i="26"/>
  <c r="AH39" i="26"/>
  <c r="AI39" i="26"/>
  <c r="AH40" i="26"/>
  <c r="AI40" i="26"/>
  <c r="AH41" i="26"/>
  <c r="AI41" i="26"/>
  <c r="AH42" i="26"/>
  <c r="AI42" i="26"/>
  <c r="AH43" i="26"/>
  <c r="AI43" i="26"/>
  <c r="AH44" i="26"/>
  <c r="AI44" i="26"/>
  <c r="AH45" i="26"/>
  <c r="AI45" i="26"/>
  <c r="AH46" i="26"/>
  <c r="AI46" i="26"/>
  <c r="AH47" i="26"/>
  <c r="AI47" i="26"/>
  <c r="AH48" i="26"/>
  <c r="AI48" i="26"/>
  <c r="AH49" i="26"/>
  <c r="AI49" i="26"/>
  <c r="AH50" i="26"/>
  <c r="AI50" i="26"/>
  <c r="AH51" i="26"/>
  <c r="AI51" i="26"/>
  <c r="AI52" i="26"/>
  <c r="AH53" i="26"/>
  <c r="AI53" i="26"/>
  <c r="AH54" i="26"/>
  <c r="AI54" i="26"/>
  <c r="AH55" i="26"/>
  <c r="AI55" i="26"/>
  <c r="AH56" i="26"/>
  <c r="AI56" i="26"/>
  <c r="AH57" i="26"/>
  <c r="AI57" i="26"/>
  <c r="AH58" i="26"/>
  <c r="AI58" i="26"/>
  <c r="AH59" i="26"/>
  <c r="AI59" i="26"/>
  <c r="AH60" i="26"/>
  <c r="AI60" i="26"/>
  <c r="AH61" i="26"/>
  <c r="AI61" i="26"/>
  <c r="AH62" i="26"/>
  <c r="AI62" i="26"/>
  <c r="AH52" i="25"/>
  <c r="AH38" i="25"/>
  <c r="AH23" i="25"/>
  <c r="AH5" i="25"/>
  <c r="AI5" i="25"/>
  <c r="AH52" i="24"/>
  <c r="AH38" i="24"/>
  <c r="AH23" i="24"/>
  <c r="AG5" i="24"/>
  <c r="AH5" i="24"/>
  <c r="AI5" i="24"/>
  <c r="AI4" i="24" s="1"/>
  <c r="AH52" i="22"/>
  <c r="AH38" i="22"/>
  <c r="AH23" i="22"/>
  <c r="AH5" i="22"/>
  <c r="AI5" i="22"/>
  <c r="AH52" i="21"/>
  <c r="AH38" i="21"/>
  <c r="AG5" i="21"/>
  <c r="AH52" i="20"/>
  <c r="AH38" i="20"/>
  <c r="AH23" i="20"/>
  <c r="AH5" i="20"/>
  <c r="AI5" i="20"/>
  <c r="AH52" i="19"/>
  <c r="AH38" i="19"/>
  <c r="AH23" i="19"/>
  <c r="AH23" i="26" s="1"/>
  <c r="AG5" i="19"/>
  <c r="AH5" i="19"/>
  <c r="AI4" i="19"/>
  <c r="AH52" i="18"/>
  <c r="AH52" i="26" s="1"/>
  <c r="AH38" i="18"/>
  <c r="AH38" i="26" s="1"/>
  <c r="AH23" i="18"/>
  <c r="AH5" i="18"/>
  <c r="AI5" i="18"/>
  <c r="AH52" i="10"/>
  <c r="AH38" i="10"/>
  <c r="AH23" i="10"/>
  <c r="AG5" i="10"/>
  <c r="AH5" i="10"/>
  <c r="AI5" i="10"/>
  <c r="AH23" i="9"/>
  <c r="AH38" i="9"/>
  <c r="AH52" i="9"/>
  <c r="AH5" i="9"/>
  <c r="AI5" i="9"/>
  <c r="AI4" i="9" s="1"/>
  <c r="AH23" i="5"/>
  <c r="AH38" i="5"/>
  <c r="AH52" i="5"/>
  <c r="AG5" i="5"/>
  <c r="AH5" i="5"/>
  <c r="AI5" i="5"/>
  <c r="AH52" i="4"/>
  <c r="AH38" i="4"/>
  <c r="AH23" i="4"/>
  <c r="AH5" i="4"/>
  <c r="AI5" i="4"/>
  <c r="AH52" i="2"/>
  <c r="AH52" i="13" s="1"/>
  <c r="AH38" i="2"/>
  <c r="AH23" i="2"/>
  <c r="AH5" i="2"/>
  <c r="AI5" i="2"/>
  <c r="AH52" i="3"/>
  <c r="AH38" i="3"/>
  <c r="AH23" i="3"/>
  <c r="AH5" i="3"/>
  <c r="AI5" i="3"/>
  <c r="AH52" i="1"/>
  <c r="AH38" i="1"/>
  <c r="AH38" i="13" s="1"/>
  <c r="AH23" i="1"/>
  <c r="AH23" i="13" s="1"/>
  <c r="AI5" i="1"/>
  <c r="AH5" i="1"/>
  <c r="AH5" i="13" s="1"/>
  <c r="AI4" i="2" l="1"/>
  <c r="AI4" i="5"/>
  <c r="AI4" i="22"/>
  <c r="AI4" i="3"/>
  <c r="AH4" i="5"/>
  <c r="AI4" i="18"/>
  <c r="AI4" i="4"/>
  <c r="AI4" i="10"/>
  <c r="AH4" i="10"/>
  <c r="AI4" i="25"/>
  <c r="AI4" i="1"/>
  <c r="AI4" i="20"/>
  <c r="AI4" i="26"/>
  <c r="AI5" i="26"/>
  <c r="AI5" i="13"/>
  <c r="AH4" i="25"/>
  <c r="AH4" i="24"/>
  <c r="AH4" i="22"/>
  <c r="AH4" i="20"/>
  <c r="AH4" i="19"/>
  <c r="AH4" i="18"/>
  <c r="AH4" i="9"/>
  <c r="AH4" i="4"/>
  <c r="AH4" i="2"/>
  <c r="AH4" i="3"/>
  <c r="AH4" i="1"/>
  <c r="AH4" i="13" s="1"/>
  <c r="AH4" i="26" l="1"/>
  <c r="AI4" i="13"/>
  <c r="AG6" i="13"/>
  <c r="AG7" i="13"/>
  <c r="AG8" i="13"/>
  <c r="AG9" i="13"/>
  <c r="AG10" i="13"/>
  <c r="AG11" i="13"/>
  <c r="AG12" i="13"/>
  <c r="AG13" i="13"/>
  <c r="AG14" i="13"/>
  <c r="AG15" i="13"/>
  <c r="AG16" i="13"/>
  <c r="AG17" i="13"/>
  <c r="AG18" i="13"/>
  <c r="AG19" i="13"/>
  <c r="AG20" i="13"/>
  <c r="AG21" i="13"/>
  <c r="AG22" i="13"/>
  <c r="AG25" i="13"/>
  <c r="AG26" i="13"/>
  <c r="AG27" i="13"/>
  <c r="AG28" i="13"/>
  <c r="AG29" i="13"/>
  <c r="AG30" i="13"/>
  <c r="AG31" i="13"/>
  <c r="AG32" i="13"/>
  <c r="AG33" i="13"/>
  <c r="AG34" i="13"/>
  <c r="AG35" i="13"/>
  <c r="AG36" i="13"/>
  <c r="AG37" i="13"/>
  <c r="AG40" i="13"/>
  <c r="AG41" i="13"/>
  <c r="AG42" i="13"/>
  <c r="AG43" i="13"/>
  <c r="AG44" i="13"/>
  <c r="AG45" i="13"/>
  <c r="AG46" i="13"/>
  <c r="AG47" i="13"/>
  <c r="AG48" i="13"/>
  <c r="AG49" i="13"/>
  <c r="AG50" i="13"/>
  <c r="AG51" i="13"/>
  <c r="AG53" i="13"/>
  <c r="AG54" i="13"/>
  <c r="AG55" i="13"/>
  <c r="AG56" i="13"/>
  <c r="AG57" i="13"/>
  <c r="AG58" i="13"/>
  <c r="AG59" i="13"/>
  <c r="AG60" i="13"/>
  <c r="AG61" i="13"/>
  <c r="AG62" i="13"/>
  <c r="AG63" i="13"/>
  <c r="AG6" i="26"/>
  <c r="AG7" i="26"/>
  <c r="AG8" i="26"/>
  <c r="AG9" i="26"/>
  <c r="AG10" i="26"/>
  <c r="AG11" i="26"/>
  <c r="AG12" i="26"/>
  <c r="AG13" i="26"/>
  <c r="AG14" i="26"/>
  <c r="AG15" i="26"/>
  <c r="AG16" i="26"/>
  <c r="AG17" i="26"/>
  <c r="AG18" i="26"/>
  <c r="AG19" i="26"/>
  <c r="AG20" i="26"/>
  <c r="AG21" i="26"/>
  <c r="AG22" i="26"/>
  <c r="AG24" i="26"/>
  <c r="AG25" i="26"/>
  <c r="AG26" i="26"/>
  <c r="AG27" i="26"/>
  <c r="AG28" i="26"/>
  <c r="AG29" i="26"/>
  <c r="AG30" i="26"/>
  <c r="AG31" i="26"/>
  <c r="AG32" i="26"/>
  <c r="AG33" i="26"/>
  <c r="AG34" i="26"/>
  <c r="AG35" i="26"/>
  <c r="AG36" i="26"/>
  <c r="AG37" i="26"/>
  <c r="AG39" i="26"/>
  <c r="AG40" i="26"/>
  <c r="AG41" i="26"/>
  <c r="AG42" i="26"/>
  <c r="AG43" i="26"/>
  <c r="AG44" i="26"/>
  <c r="AG45" i="26"/>
  <c r="AG46" i="26"/>
  <c r="AG47" i="26"/>
  <c r="AG48" i="26"/>
  <c r="AG49" i="26"/>
  <c r="AG50" i="26"/>
  <c r="AG51" i="26"/>
  <c r="AG53" i="26"/>
  <c r="AG54" i="26"/>
  <c r="AG55" i="26"/>
  <c r="AG56" i="26"/>
  <c r="AG57" i="26"/>
  <c r="AG58" i="26"/>
  <c r="AG59" i="26"/>
  <c r="AG60" i="26"/>
  <c r="AG61" i="26"/>
  <c r="AG62" i="26"/>
  <c r="AG52" i="25"/>
  <c r="AG38" i="25"/>
  <c r="AG23" i="25"/>
  <c r="AG5" i="25"/>
  <c r="AG52" i="24"/>
  <c r="AG38" i="24"/>
  <c r="AG23" i="24"/>
  <c r="AG4" i="24" s="1"/>
  <c r="AG52" i="22"/>
  <c r="AG38" i="22"/>
  <c r="AG23" i="22"/>
  <c r="AG5" i="22"/>
  <c r="AG52" i="21"/>
  <c r="AG38" i="21"/>
  <c r="AG23" i="21"/>
  <c r="AG4" i="21" s="1"/>
  <c r="AG52" i="20"/>
  <c r="AG38" i="20"/>
  <c r="AG23" i="20"/>
  <c r="AG5" i="20"/>
  <c r="AG52" i="19"/>
  <c r="AG38" i="19"/>
  <c r="AG23" i="19"/>
  <c r="AG4" i="19" s="1"/>
  <c r="AG52" i="18"/>
  <c r="AG38" i="18"/>
  <c r="AG23" i="18"/>
  <c r="AG23" i="26" s="1"/>
  <c r="AG5" i="18"/>
  <c r="AF23" i="10"/>
  <c r="AF5" i="10"/>
  <c r="AF52" i="10"/>
  <c r="AE52" i="10"/>
  <c r="AG52" i="10"/>
  <c r="AF38" i="10"/>
  <c r="AE38" i="10"/>
  <c r="AG38" i="10"/>
  <c r="AE23" i="10"/>
  <c r="AG23" i="10"/>
  <c r="AD23" i="10"/>
  <c r="AG52" i="9"/>
  <c r="AG38" i="9"/>
  <c r="AG23" i="9"/>
  <c r="AG5" i="9"/>
  <c r="AF52" i="5"/>
  <c r="AG52" i="5"/>
  <c r="AF38" i="5"/>
  <c r="AG38" i="5"/>
  <c r="AF23" i="5"/>
  <c r="AG23" i="5"/>
  <c r="AG4" i="5" s="1"/>
  <c r="AG52" i="4"/>
  <c r="AG38" i="4"/>
  <c r="AG23" i="4"/>
  <c r="AG5" i="4"/>
  <c r="AG52" i="3"/>
  <c r="AG38" i="3"/>
  <c r="AG23" i="3"/>
  <c r="AG5" i="3"/>
  <c r="AG52" i="2"/>
  <c r="AG38" i="2"/>
  <c r="AG23" i="2"/>
  <c r="AG5" i="2"/>
  <c r="AG52" i="1"/>
  <c r="AG38" i="1"/>
  <c r="AG23" i="1"/>
  <c r="AG5" i="1"/>
  <c r="AG52" i="13" l="1"/>
  <c r="AG4" i="10"/>
  <c r="AG5" i="13"/>
  <c r="AG52" i="26"/>
  <c r="AG38" i="13"/>
  <c r="AG23" i="13"/>
  <c r="AG38" i="26"/>
  <c r="AG5" i="26"/>
  <c r="AG4" i="25"/>
  <c r="AG4" i="22"/>
  <c r="AG4" i="20"/>
  <c r="AG4" i="18"/>
  <c r="AG4" i="9"/>
  <c r="AG4" i="4"/>
  <c r="AG4" i="3"/>
  <c r="AG4" i="2"/>
  <c r="AG4" i="1"/>
  <c r="AG4" i="26" l="1"/>
  <c r="AG4" i="13"/>
  <c r="AF6" i="13"/>
  <c r="AF7" i="13"/>
  <c r="AF8" i="13"/>
  <c r="AF9" i="13"/>
  <c r="AF10" i="13"/>
  <c r="AF11" i="13"/>
  <c r="AF12" i="13"/>
  <c r="AF13" i="13"/>
  <c r="AF14" i="13"/>
  <c r="AF15" i="13"/>
  <c r="AF16" i="13"/>
  <c r="AF17" i="13"/>
  <c r="AF18" i="13"/>
  <c r="AF19" i="13"/>
  <c r="AF20" i="13"/>
  <c r="AF21" i="13"/>
  <c r="AF22" i="13"/>
  <c r="AF24" i="13"/>
  <c r="AF25" i="13"/>
  <c r="AF26" i="13"/>
  <c r="AF27" i="13"/>
  <c r="AF28" i="13"/>
  <c r="AF29" i="13"/>
  <c r="AF30" i="13"/>
  <c r="AF31" i="13"/>
  <c r="AF32" i="13"/>
  <c r="AF33" i="13"/>
  <c r="AF34" i="13"/>
  <c r="AF35" i="13"/>
  <c r="AF36" i="13"/>
  <c r="AF37" i="13"/>
  <c r="AF39" i="13"/>
  <c r="AF40" i="13"/>
  <c r="AF41" i="13"/>
  <c r="AF42" i="13"/>
  <c r="AF43" i="13"/>
  <c r="AF44" i="13"/>
  <c r="AF45" i="13"/>
  <c r="AF46" i="13"/>
  <c r="AF47" i="13"/>
  <c r="AF48" i="13"/>
  <c r="AF49" i="13"/>
  <c r="AF50" i="13"/>
  <c r="AF51" i="13"/>
  <c r="AF53" i="13"/>
  <c r="AF54" i="13"/>
  <c r="AF55" i="13"/>
  <c r="AF56" i="13"/>
  <c r="AF57" i="13"/>
  <c r="AF58" i="13"/>
  <c r="AF59" i="13"/>
  <c r="AF60" i="13"/>
  <c r="AF61" i="13"/>
  <c r="AF62" i="13"/>
  <c r="AF63" i="13"/>
  <c r="AF6" i="26"/>
  <c r="AF7" i="26"/>
  <c r="AF8" i="26"/>
  <c r="AF9" i="26"/>
  <c r="AF10" i="26"/>
  <c r="AF11" i="26"/>
  <c r="AF12" i="26"/>
  <c r="AF13" i="26"/>
  <c r="AF14" i="26"/>
  <c r="AF15" i="26"/>
  <c r="AF16" i="26"/>
  <c r="AF17" i="26"/>
  <c r="AF18" i="26"/>
  <c r="AF19" i="26"/>
  <c r="AF20" i="26"/>
  <c r="AF21" i="26"/>
  <c r="AF22" i="26"/>
  <c r="AF24" i="26"/>
  <c r="AF25" i="26"/>
  <c r="AF26" i="26"/>
  <c r="AF27" i="26"/>
  <c r="AF28" i="26"/>
  <c r="AF29" i="26"/>
  <c r="AF30" i="26"/>
  <c r="AF31" i="26"/>
  <c r="AF32" i="26"/>
  <c r="AF33" i="26"/>
  <c r="AF34" i="26"/>
  <c r="AF35" i="26"/>
  <c r="AF36" i="26"/>
  <c r="AF37" i="26"/>
  <c r="AF39" i="26"/>
  <c r="AF40" i="26"/>
  <c r="AF41" i="26"/>
  <c r="AF42" i="26"/>
  <c r="AF43" i="26"/>
  <c r="AF44" i="26"/>
  <c r="AF45" i="26"/>
  <c r="AF46" i="26"/>
  <c r="AF47" i="26"/>
  <c r="AF48" i="26"/>
  <c r="AF49" i="26"/>
  <c r="AF50" i="26"/>
  <c r="AF51" i="26"/>
  <c r="AF53" i="26"/>
  <c r="AF54" i="26"/>
  <c r="AF55" i="26"/>
  <c r="AF56" i="26"/>
  <c r="AF57" i="26"/>
  <c r="AF58" i="26"/>
  <c r="AF59" i="26"/>
  <c r="AF60" i="26"/>
  <c r="AF61" i="26"/>
  <c r="AF62" i="26"/>
  <c r="AF52" i="25"/>
  <c r="AF38" i="25"/>
  <c r="AF23" i="25"/>
  <c r="AF5" i="25"/>
  <c r="AF52" i="24"/>
  <c r="AF38" i="24"/>
  <c r="AF23" i="24"/>
  <c r="AF5" i="24"/>
  <c r="AF5" i="22"/>
  <c r="AF23" i="22"/>
  <c r="AF38" i="22"/>
  <c r="AF52" i="22"/>
  <c r="AF5" i="21"/>
  <c r="AF23" i="21"/>
  <c r="AF38" i="21"/>
  <c r="AF52" i="21"/>
  <c r="AF5" i="20"/>
  <c r="AF23" i="20"/>
  <c r="AF38" i="20"/>
  <c r="AF52" i="20"/>
  <c r="AF52" i="19"/>
  <c r="AF38" i="19"/>
  <c r="AF23" i="19"/>
  <c r="AF5" i="19"/>
  <c r="AF52" i="18"/>
  <c r="AF38" i="18"/>
  <c r="AF23" i="18"/>
  <c r="AF5" i="18"/>
  <c r="AF4" i="21" l="1"/>
  <c r="AF52" i="26"/>
  <c r="AF38" i="26"/>
  <c r="AF4" i="22"/>
  <c r="AF4" i="20"/>
  <c r="AF5" i="26"/>
  <c r="AF4" i="18"/>
  <c r="AF23" i="26"/>
  <c r="AF4" i="25"/>
  <c r="AF4" i="24"/>
  <c r="AF4" i="19"/>
  <c r="AF4" i="10"/>
  <c r="AF4" i="26" l="1"/>
  <c r="AF52" i="9"/>
  <c r="AF38" i="9"/>
  <c r="AF23" i="9"/>
  <c r="AF5" i="9"/>
  <c r="AF4" i="9" l="1"/>
  <c r="AF5" i="5" l="1"/>
  <c r="AF5" i="4"/>
  <c r="AF23" i="4"/>
  <c r="AF38" i="4"/>
  <c r="AF52" i="4"/>
  <c r="AF5" i="3"/>
  <c r="AF23" i="3"/>
  <c r="AF38" i="3"/>
  <c r="AF52" i="3"/>
  <c r="AG24" i="3"/>
  <c r="AG24" i="13" s="1"/>
  <c r="AG39" i="3"/>
  <c r="AG39" i="13" s="1"/>
  <c r="AF52" i="2"/>
  <c r="AF38" i="2"/>
  <c r="AF23" i="2"/>
  <c r="AF5" i="2"/>
  <c r="AF5" i="1"/>
  <c r="AF23" i="1"/>
  <c r="AF38" i="1"/>
  <c r="AF52" i="1"/>
  <c r="AF4" i="4" l="1"/>
  <c r="AF4" i="1"/>
  <c r="AF4" i="3"/>
  <c r="AF23" i="13"/>
  <c r="AF38" i="13"/>
  <c r="AF52" i="13"/>
  <c r="AF5" i="13"/>
  <c r="AF4" i="5"/>
  <c r="AF4" i="2"/>
  <c r="AD5" i="20"/>
  <c r="AE5" i="20"/>
  <c r="AE5" i="3"/>
  <c r="AD5" i="24"/>
  <c r="AE5" i="24"/>
  <c r="AD5" i="21"/>
  <c r="AE5" i="21"/>
  <c r="AD23" i="21"/>
  <c r="AE23" i="21"/>
  <c r="AD38" i="21"/>
  <c r="AE38" i="21"/>
  <c r="AD52" i="21"/>
  <c r="AE52" i="21"/>
  <c r="AD5" i="9"/>
  <c r="AE5" i="9"/>
  <c r="AD23" i="9"/>
  <c r="AE23" i="9"/>
  <c r="AD38" i="9"/>
  <c r="AE38" i="9"/>
  <c r="AD52" i="9"/>
  <c r="AE52" i="9"/>
  <c r="AE4" i="21" l="1"/>
  <c r="AF4" i="13"/>
  <c r="AE4" i="9"/>
  <c r="AD4" i="9"/>
  <c r="AD4" i="21"/>
  <c r="AD23" i="2"/>
  <c r="AE23" i="2"/>
  <c r="AD38" i="2"/>
  <c r="AE38" i="2"/>
  <c r="AD52" i="2"/>
  <c r="AE52" i="2"/>
  <c r="AD5" i="2"/>
  <c r="AE5" i="2"/>
  <c r="AD6" i="26"/>
  <c r="AE6" i="26"/>
  <c r="AD7" i="26"/>
  <c r="AE7" i="26"/>
  <c r="AD8" i="26"/>
  <c r="AE8" i="26"/>
  <c r="AD9" i="26"/>
  <c r="AE9" i="26"/>
  <c r="AD10" i="26"/>
  <c r="AE10" i="26"/>
  <c r="AD11" i="26"/>
  <c r="AE11" i="26"/>
  <c r="AD12" i="26"/>
  <c r="AE12" i="26"/>
  <c r="AD13" i="26"/>
  <c r="AE13" i="26"/>
  <c r="AD14" i="26"/>
  <c r="AE14" i="26"/>
  <c r="AD15" i="26"/>
  <c r="AE15" i="26"/>
  <c r="AD16" i="26"/>
  <c r="AE16" i="26"/>
  <c r="AD17" i="26"/>
  <c r="AE17" i="26"/>
  <c r="AD18" i="26"/>
  <c r="AE18" i="26"/>
  <c r="AD19" i="26"/>
  <c r="AE19" i="26"/>
  <c r="AD20" i="26"/>
  <c r="AE20" i="26"/>
  <c r="AD21" i="26"/>
  <c r="AE21" i="26"/>
  <c r="AD22" i="26"/>
  <c r="AE22" i="26"/>
  <c r="AD24" i="26"/>
  <c r="AE24" i="26"/>
  <c r="AD25" i="26"/>
  <c r="AE25" i="26"/>
  <c r="AD26" i="26"/>
  <c r="AE26" i="26"/>
  <c r="AD27" i="26"/>
  <c r="AE27" i="26"/>
  <c r="AD28" i="26"/>
  <c r="AE28" i="26"/>
  <c r="AD29" i="26"/>
  <c r="AE29" i="26"/>
  <c r="AD30" i="26"/>
  <c r="AE30" i="26"/>
  <c r="AD31" i="26"/>
  <c r="AE31" i="26"/>
  <c r="AD32" i="26"/>
  <c r="AE32" i="26"/>
  <c r="AD33" i="26"/>
  <c r="AE33" i="26"/>
  <c r="AD34" i="26"/>
  <c r="AE34" i="26"/>
  <c r="AD35" i="26"/>
  <c r="AE35" i="26"/>
  <c r="AD36" i="26"/>
  <c r="AE36" i="26"/>
  <c r="AD37" i="26"/>
  <c r="AE37" i="26"/>
  <c r="AD39" i="26"/>
  <c r="AE39" i="26"/>
  <c r="AD40" i="26"/>
  <c r="AE40" i="26"/>
  <c r="AD41" i="26"/>
  <c r="AE41" i="26"/>
  <c r="AD42" i="26"/>
  <c r="AE42" i="26"/>
  <c r="AD43" i="26"/>
  <c r="AE43" i="26"/>
  <c r="AD44" i="26"/>
  <c r="AE44" i="26"/>
  <c r="AD45" i="26"/>
  <c r="AE45" i="26"/>
  <c r="AD46" i="26"/>
  <c r="AE46" i="26"/>
  <c r="AD47" i="26"/>
  <c r="AE47" i="26"/>
  <c r="AD48" i="26"/>
  <c r="AE48" i="26"/>
  <c r="AD49" i="26"/>
  <c r="AE49" i="26"/>
  <c r="AD50" i="26"/>
  <c r="AE50" i="26"/>
  <c r="AD51" i="26"/>
  <c r="AE51" i="26"/>
  <c r="AD53" i="26"/>
  <c r="AE53" i="26"/>
  <c r="AD54" i="26"/>
  <c r="AE54" i="26"/>
  <c r="AD55" i="26"/>
  <c r="AE55" i="26"/>
  <c r="AD56" i="26"/>
  <c r="AE56" i="26"/>
  <c r="AD57" i="26"/>
  <c r="AE57" i="26"/>
  <c r="AD58" i="26"/>
  <c r="AE58" i="26"/>
  <c r="AD59" i="26"/>
  <c r="AE59" i="26"/>
  <c r="AD60" i="26"/>
  <c r="AE60" i="26"/>
  <c r="AD61" i="26"/>
  <c r="AE61" i="26"/>
  <c r="AD62" i="26"/>
  <c r="AE62" i="26"/>
  <c r="AD63" i="26"/>
  <c r="AE63" i="26"/>
  <c r="AD23" i="25"/>
  <c r="AE23" i="25"/>
  <c r="AD52" i="25"/>
  <c r="AE52" i="25"/>
  <c r="AD38" i="25"/>
  <c r="AE38" i="25"/>
  <c r="AD5" i="25"/>
  <c r="AE5" i="25"/>
  <c r="AD52" i="24"/>
  <c r="AE52" i="24"/>
  <c r="AD38" i="24"/>
  <c r="AE38" i="24"/>
  <c r="AD23" i="24"/>
  <c r="AE23" i="24"/>
  <c r="AE4" i="24" s="1"/>
  <c r="AD23" i="22"/>
  <c r="AD38" i="22"/>
  <c r="AE38" i="22"/>
  <c r="AD52" i="22"/>
  <c r="AE52" i="22"/>
  <c r="AE23" i="22"/>
  <c r="AD5" i="22"/>
  <c r="AE5" i="22"/>
  <c r="AD23" i="20"/>
  <c r="AE23" i="20"/>
  <c r="AD38" i="20"/>
  <c r="AE38" i="20"/>
  <c r="AD52" i="20"/>
  <c r="AE52" i="20"/>
  <c r="AD52" i="19"/>
  <c r="AE52" i="19"/>
  <c r="AD38" i="19"/>
  <c r="AE38" i="19"/>
  <c r="AD23" i="19"/>
  <c r="AE23" i="19"/>
  <c r="AD5" i="19"/>
  <c r="AE5" i="19"/>
  <c r="AD6" i="13"/>
  <c r="AE6" i="13"/>
  <c r="AD7" i="13"/>
  <c r="AE7" i="13"/>
  <c r="AD8" i="13"/>
  <c r="AE8" i="13"/>
  <c r="AD9" i="13"/>
  <c r="AE9" i="13"/>
  <c r="AD10" i="13"/>
  <c r="AE10" i="13"/>
  <c r="AD11" i="13"/>
  <c r="AE11" i="13"/>
  <c r="AD12" i="13"/>
  <c r="AE12" i="13"/>
  <c r="AD13" i="13"/>
  <c r="AE13" i="13"/>
  <c r="AD14" i="13"/>
  <c r="AE14" i="13"/>
  <c r="AD15" i="13"/>
  <c r="AE15" i="13"/>
  <c r="AD16" i="13"/>
  <c r="AE16" i="13"/>
  <c r="AD17" i="13"/>
  <c r="AE17" i="13"/>
  <c r="AD18" i="13"/>
  <c r="AE18" i="13"/>
  <c r="AD19" i="13"/>
  <c r="AE19" i="13"/>
  <c r="AD20" i="13"/>
  <c r="AE20" i="13"/>
  <c r="AD21" i="13"/>
  <c r="AE21" i="13"/>
  <c r="AD22" i="13"/>
  <c r="AE22" i="13"/>
  <c r="AD24" i="13"/>
  <c r="AE24" i="13"/>
  <c r="AD25" i="13"/>
  <c r="AE25" i="13"/>
  <c r="AD26" i="13"/>
  <c r="AE26" i="13"/>
  <c r="AD27" i="13"/>
  <c r="AE27" i="13"/>
  <c r="AD28" i="13"/>
  <c r="AE28" i="13"/>
  <c r="AD29" i="13"/>
  <c r="AE29" i="13"/>
  <c r="AD30" i="13"/>
  <c r="AE30" i="13"/>
  <c r="AD31" i="13"/>
  <c r="AE31" i="13"/>
  <c r="AD32" i="13"/>
  <c r="AE32" i="13"/>
  <c r="AD33" i="13"/>
  <c r="AE33" i="13"/>
  <c r="AD34" i="13"/>
  <c r="AE34" i="13"/>
  <c r="AD35" i="13"/>
  <c r="AE35" i="13"/>
  <c r="AD36" i="13"/>
  <c r="AE36" i="13"/>
  <c r="AD37" i="13"/>
  <c r="AE37" i="13"/>
  <c r="AD39" i="13"/>
  <c r="AE39" i="13"/>
  <c r="AD40" i="13"/>
  <c r="AE40" i="13"/>
  <c r="AD41" i="13"/>
  <c r="AE41" i="13"/>
  <c r="AD42" i="13"/>
  <c r="AE42" i="13"/>
  <c r="AD43" i="13"/>
  <c r="AE43" i="13"/>
  <c r="AD44" i="13"/>
  <c r="AE44" i="13"/>
  <c r="AD45" i="13"/>
  <c r="AE45" i="13"/>
  <c r="AD46" i="13"/>
  <c r="AE46" i="13"/>
  <c r="AD47" i="13"/>
  <c r="AE47" i="13"/>
  <c r="AD48" i="13"/>
  <c r="AE48" i="13"/>
  <c r="AD49" i="13"/>
  <c r="AE49" i="13"/>
  <c r="AD50" i="13"/>
  <c r="AE50" i="13"/>
  <c r="AD51" i="13"/>
  <c r="AE51" i="13"/>
  <c r="AD53" i="13"/>
  <c r="AE53" i="13"/>
  <c r="AD54" i="13"/>
  <c r="AE54" i="13"/>
  <c r="AD55" i="13"/>
  <c r="AE55" i="13"/>
  <c r="AD56" i="13"/>
  <c r="AE56" i="13"/>
  <c r="AD57" i="13"/>
  <c r="AE57" i="13"/>
  <c r="AD58" i="13"/>
  <c r="AE58" i="13"/>
  <c r="AD59" i="13"/>
  <c r="AE59" i="13"/>
  <c r="AD60" i="13"/>
  <c r="AE60" i="13"/>
  <c r="AD61" i="13"/>
  <c r="AE61" i="13"/>
  <c r="AD62" i="13"/>
  <c r="AE62" i="13"/>
  <c r="AD63" i="13"/>
  <c r="AE63" i="13"/>
  <c r="AD52" i="10"/>
  <c r="AD38" i="10"/>
  <c r="AD52" i="5"/>
  <c r="AD38" i="5"/>
  <c r="AD23" i="5"/>
  <c r="AD52" i="4"/>
  <c r="AD38" i="4"/>
  <c r="AD23" i="4"/>
  <c r="AE4" i="20" l="1"/>
  <c r="AD4" i="20"/>
  <c r="AD4" i="24"/>
  <c r="AE4" i="22"/>
  <c r="AE4" i="2"/>
  <c r="AD4" i="2"/>
  <c r="AD4" i="25"/>
  <c r="AE4" i="25"/>
  <c r="AD4" i="22"/>
  <c r="AE4" i="19"/>
  <c r="AD4" i="19"/>
  <c r="AD52" i="18" l="1"/>
  <c r="AE52" i="18"/>
  <c r="AD38" i="18"/>
  <c r="AE38" i="18"/>
  <c r="AD23" i="18"/>
  <c r="AE23" i="18"/>
  <c r="AD5" i="18"/>
  <c r="AE5" i="18"/>
  <c r="AD5" i="10"/>
  <c r="AE5" i="10"/>
  <c r="AE52" i="5"/>
  <c r="AE38" i="5"/>
  <c r="AE23" i="5"/>
  <c r="AD5" i="5"/>
  <c r="AE5" i="5"/>
  <c r="AD38" i="26" l="1"/>
  <c r="AD52" i="26"/>
  <c r="AD5" i="26"/>
  <c r="AD23" i="26"/>
  <c r="AE23" i="26"/>
  <c r="AE52" i="26"/>
  <c r="AE38" i="26"/>
  <c r="AE5" i="26"/>
  <c r="AE4" i="10"/>
  <c r="AE4" i="18"/>
  <c r="AD4" i="18"/>
  <c r="AD4" i="10"/>
  <c r="AD4" i="5"/>
  <c r="AE4" i="5"/>
  <c r="AE52" i="4"/>
  <c r="AE38" i="4"/>
  <c r="AE23" i="4"/>
  <c r="AD5" i="4"/>
  <c r="AE5" i="4"/>
  <c r="AD52" i="3"/>
  <c r="AE52" i="3"/>
  <c r="AD38" i="3"/>
  <c r="AE38" i="3"/>
  <c r="AD23" i="3"/>
  <c r="AE23" i="3"/>
  <c r="AD5" i="3"/>
  <c r="AD52" i="1"/>
  <c r="AE52" i="1"/>
  <c r="AD38" i="1"/>
  <c r="AE38" i="1"/>
  <c r="AD23" i="1"/>
  <c r="AE23" i="1"/>
  <c r="AD5" i="1"/>
  <c r="AE5" i="1"/>
  <c r="AD4" i="26" l="1"/>
  <c r="AE23" i="13"/>
  <c r="AD23" i="13"/>
  <c r="AD38" i="13"/>
  <c r="AE38" i="13"/>
  <c r="AD52" i="13"/>
  <c r="AE5" i="13"/>
  <c r="AE4" i="26"/>
  <c r="AE52" i="13"/>
  <c r="AD5" i="13"/>
  <c r="AE4" i="3"/>
  <c r="AE4" i="4"/>
  <c r="AD4" i="4"/>
  <c r="AD4" i="3"/>
  <c r="AE4" i="1"/>
  <c r="AD4" i="1"/>
  <c r="AC68" i="17"/>
  <c r="AE4" i="13" l="1"/>
  <c r="AD4" i="13"/>
  <c r="AC6" i="26" l="1"/>
  <c r="AC7" i="26"/>
  <c r="AC8" i="26"/>
  <c r="AC9" i="26"/>
  <c r="AC10" i="26"/>
  <c r="AC11" i="26"/>
  <c r="AC12" i="26"/>
  <c r="AC13" i="26"/>
  <c r="AC14" i="26"/>
  <c r="AC15" i="26"/>
  <c r="AC16" i="26"/>
  <c r="AC17" i="26"/>
  <c r="AC18" i="26"/>
  <c r="AC19" i="26"/>
  <c r="AC20" i="26"/>
  <c r="AC21" i="26"/>
  <c r="AC22" i="26"/>
  <c r="AC24" i="26"/>
  <c r="AC25" i="26"/>
  <c r="AC26" i="26"/>
  <c r="AC27" i="26"/>
  <c r="AC28" i="26"/>
  <c r="AC29" i="26"/>
  <c r="AC30" i="26"/>
  <c r="AC31" i="26"/>
  <c r="AC32" i="26"/>
  <c r="AC33" i="26"/>
  <c r="AC34" i="26"/>
  <c r="AC35" i="26"/>
  <c r="AC36" i="26"/>
  <c r="AC37" i="26"/>
  <c r="AC39" i="26"/>
  <c r="AC40" i="26"/>
  <c r="AC41" i="26"/>
  <c r="AC42" i="26"/>
  <c r="AC43" i="26"/>
  <c r="AC44" i="26"/>
  <c r="AC45" i="26"/>
  <c r="AC46" i="26"/>
  <c r="AC47" i="26"/>
  <c r="AC48" i="26"/>
  <c r="AC49" i="26"/>
  <c r="AC50" i="26"/>
  <c r="AC51" i="26"/>
  <c r="AC53" i="26"/>
  <c r="AC54" i="26"/>
  <c r="AC55" i="26"/>
  <c r="AC56" i="26"/>
  <c r="AC57" i="26"/>
  <c r="AC58" i="26"/>
  <c r="AC59" i="26"/>
  <c r="AC60" i="26"/>
  <c r="AC61" i="26"/>
  <c r="AC62" i="26"/>
  <c r="AC63" i="26"/>
  <c r="AC6" i="13"/>
  <c r="AC7" i="13"/>
  <c r="AC8" i="13"/>
  <c r="AC9" i="13"/>
  <c r="AC10" i="13"/>
  <c r="AC11" i="13"/>
  <c r="AC12" i="13"/>
  <c r="AC13" i="13"/>
  <c r="AC14" i="13"/>
  <c r="AC15" i="13"/>
  <c r="AC16" i="13"/>
  <c r="AC17" i="13"/>
  <c r="AC18" i="13"/>
  <c r="AC19" i="13"/>
  <c r="AC20" i="13"/>
  <c r="AC21" i="13"/>
  <c r="AC22" i="13"/>
  <c r="AC24" i="13"/>
  <c r="AC25" i="13"/>
  <c r="AC26" i="13"/>
  <c r="AC27" i="13"/>
  <c r="AC28" i="13"/>
  <c r="AC29" i="13"/>
  <c r="AC30" i="13"/>
  <c r="AC31" i="13"/>
  <c r="AC32" i="13"/>
  <c r="AC33" i="13"/>
  <c r="AC34" i="13"/>
  <c r="AC35" i="13"/>
  <c r="AC36" i="13"/>
  <c r="AC37" i="13"/>
  <c r="AC39" i="13"/>
  <c r="AC40" i="13"/>
  <c r="AC41" i="13"/>
  <c r="AC42" i="13"/>
  <c r="AC43" i="13"/>
  <c r="AC44" i="13"/>
  <c r="AC45" i="13"/>
  <c r="AC46" i="13"/>
  <c r="AC47" i="13"/>
  <c r="AC48" i="13"/>
  <c r="AC49" i="13"/>
  <c r="AC50" i="13"/>
  <c r="AC51" i="13"/>
  <c r="AC53" i="13"/>
  <c r="AC54" i="13"/>
  <c r="AC55" i="13"/>
  <c r="AC56" i="13"/>
  <c r="AC57" i="13"/>
  <c r="AC58" i="13"/>
  <c r="AC59" i="13"/>
  <c r="AC60" i="13"/>
  <c r="AC61" i="13"/>
  <c r="AC62" i="13"/>
  <c r="AC63" i="13"/>
  <c r="AC52" i="25"/>
  <c r="AC38" i="25"/>
  <c r="AC23" i="25"/>
  <c r="AC5" i="25"/>
  <c r="AC52" i="24"/>
  <c r="AC38" i="24"/>
  <c r="AC23" i="24"/>
  <c r="AC5" i="24"/>
  <c r="AC52" i="22"/>
  <c r="AC38" i="22"/>
  <c r="AC23" i="22"/>
  <c r="AC5" i="22"/>
  <c r="AC52" i="21"/>
  <c r="AC38" i="21"/>
  <c r="AC23" i="21"/>
  <c r="AC5" i="21"/>
  <c r="AC52" i="20"/>
  <c r="AC38" i="20"/>
  <c r="AC23" i="20"/>
  <c r="AC5" i="20"/>
  <c r="AC52" i="19"/>
  <c r="AC38" i="19"/>
  <c r="AC23" i="19"/>
  <c r="AC5" i="19"/>
  <c r="AC52" i="18"/>
  <c r="AC38" i="18"/>
  <c r="AC23" i="18"/>
  <c r="AC5" i="18"/>
  <c r="AC52" i="10"/>
  <c r="AC38" i="10"/>
  <c r="AC23" i="10"/>
  <c r="AC5" i="10"/>
  <c r="AC52" i="9"/>
  <c r="AC38" i="9"/>
  <c r="AC23" i="9"/>
  <c r="AC5" i="9"/>
  <c r="AC52" i="5"/>
  <c r="AC38" i="5"/>
  <c r="AC23" i="5"/>
  <c r="AC5" i="5"/>
  <c r="AC23" i="3"/>
  <c r="AC52" i="4"/>
  <c r="AC38" i="4"/>
  <c r="AC23" i="4"/>
  <c r="AC5" i="4"/>
  <c r="AC52" i="3"/>
  <c r="AC38" i="3"/>
  <c r="AC5" i="3"/>
  <c r="AC52" i="2"/>
  <c r="AC38" i="2"/>
  <c r="AC23" i="2"/>
  <c r="AC5" i="2"/>
  <c r="AC5" i="26" l="1"/>
  <c r="AC49" i="17"/>
  <c r="AC46" i="17"/>
  <c r="AC12" i="17"/>
  <c r="AC51" i="17"/>
  <c r="AC38" i="26"/>
  <c r="AC27" i="17"/>
  <c r="AC19" i="17"/>
  <c r="AC40" i="17"/>
  <c r="AC53" i="17"/>
  <c r="AC23" i="26"/>
  <c r="AC20" i="17"/>
  <c r="AC52" i="26"/>
  <c r="AC67" i="17"/>
  <c r="AC59" i="17"/>
  <c r="AC37" i="17"/>
  <c r="AC24" i="17"/>
  <c r="AC16" i="17"/>
  <c r="AC41" i="17"/>
  <c r="Z66" i="16"/>
  <c r="Z37" i="16"/>
  <c r="Z18" i="16"/>
  <c r="Z42" i="16"/>
  <c r="Z61" i="16"/>
  <c r="Z60" i="16"/>
  <c r="Z20" i="16"/>
  <c r="Z26" i="16"/>
  <c r="Z52" i="16"/>
  <c r="Z68" i="16"/>
  <c r="Z69" i="16"/>
  <c r="Z28" i="16"/>
  <c r="Z34" i="16"/>
  <c r="Z43" i="16"/>
  <c r="Z35" i="16"/>
  <c r="AB38" i="16"/>
  <c r="Z51" i="16"/>
  <c r="Z46" i="16"/>
  <c r="AB57" i="16"/>
  <c r="Z25" i="16"/>
  <c r="Z17" i="16"/>
  <c r="AB23" i="16"/>
  <c r="Z54" i="16"/>
  <c r="AB55" i="16"/>
  <c r="Z19" i="16"/>
  <c r="Z27" i="16"/>
  <c r="Z36" i="16"/>
  <c r="Z53" i="16"/>
  <c r="Z50" i="16"/>
  <c r="Z67" i="16"/>
  <c r="Z13" i="16"/>
  <c r="Z21" i="16"/>
  <c r="AC4" i="25"/>
  <c r="AC4" i="24"/>
  <c r="AC4" i="22"/>
  <c r="AC4" i="21"/>
  <c r="AC4" i="20"/>
  <c r="AC4" i="19"/>
  <c r="AC4" i="18"/>
  <c r="AC4" i="10"/>
  <c r="AC4" i="9"/>
  <c r="AC4" i="5"/>
  <c r="AC4" i="4"/>
  <c r="AC4" i="3"/>
  <c r="AC4" i="2"/>
  <c r="AC52" i="1"/>
  <c r="AC52" i="13" s="1"/>
  <c r="AC38" i="1"/>
  <c r="AC38" i="13" s="1"/>
  <c r="AC23" i="1"/>
  <c r="AC23" i="13" s="1"/>
  <c r="AC5" i="1"/>
  <c r="AB6" i="13"/>
  <c r="AB7" i="13"/>
  <c r="AB8" i="13"/>
  <c r="AB9" i="13"/>
  <c r="AB10" i="13"/>
  <c r="AB11" i="13"/>
  <c r="AB12" i="13"/>
  <c r="AB13" i="13"/>
  <c r="AB14" i="13"/>
  <c r="AB15" i="13"/>
  <c r="AB16" i="13"/>
  <c r="AB17" i="13"/>
  <c r="AB18" i="13"/>
  <c r="AB19" i="13"/>
  <c r="AB20" i="13"/>
  <c r="AB21" i="13"/>
  <c r="AB22" i="13"/>
  <c r="AB24" i="13"/>
  <c r="AB25" i="13"/>
  <c r="AB26" i="13"/>
  <c r="AB27" i="13"/>
  <c r="AB28" i="13"/>
  <c r="AB29" i="13"/>
  <c r="AB30" i="13"/>
  <c r="AB31" i="13"/>
  <c r="AB32" i="13"/>
  <c r="AB33" i="13"/>
  <c r="AB34" i="13"/>
  <c r="AB35" i="13"/>
  <c r="AB36" i="13"/>
  <c r="AB37" i="13"/>
  <c r="AB39" i="13"/>
  <c r="AB40" i="13"/>
  <c r="AB41" i="13"/>
  <c r="AB42" i="13"/>
  <c r="AB43" i="13"/>
  <c r="AB44" i="13"/>
  <c r="AB45" i="13"/>
  <c r="AB46" i="13"/>
  <c r="AB47" i="13"/>
  <c r="AB48" i="13"/>
  <c r="AB49" i="13"/>
  <c r="AB50" i="13"/>
  <c r="AB51" i="13"/>
  <c r="AB53" i="13"/>
  <c r="AB54" i="13"/>
  <c r="AB55" i="13"/>
  <c r="AB56" i="13"/>
  <c r="AB57" i="13"/>
  <c r="AB58" i="13"/>
  <c r="AB59" i="13"/>
  <c r="AB60" i="13"/>
  <c r="AB61" i="13"/>
  <c r="AB62" i="13"/>
  <c r="AB63" i="13"/>
  <c r="AB6" i="26"/>
  <c r="AB7" i="26"/>
  <c r="AB8" i="26"/>
  <c r="AB9" i="26"/>
  <c r="AB10" i="26"/>
  <c r="AB11" i="26"/>
  <c r="AB12" i="26"/>
  <c r="AB13" i="26"/>
  <c r="AB14" i="26"/>
  <c r="AB15" i="26"/>
  <c r="AB16" i="26"/>
  <c r="AB17" i="26"/>
  <c r="AB18" i="26"/>
  <c r="AB19" i="26"/>
  <c r="AB20" i="26"/>
  <c r="AB21" i="26"/>
  <c r="AB22" i="26"/>
  <c r="AB24" i="26"/>
  <c r="AB25" i="26"/>
  <c r="AB26" i="26"/>
  <c r="AB27" i="26"/>
  <c r="AB28" i="26"/>
  <c r="AB29" i="26"/>
  <c r="AB30" i="26"/>
  <c r="AB31" i="26"/>
  <c r="AB32" i="26"/>
  <c r="AB33" i="26"/>
  <c r="AB34" i="26"/>
  <c r="AB35" i="26"/>
  <c r="AB36" i="26"/>
  <c r="AB37" i="26"/>
  <c r="AB39" i="26"/>
  <c r="AB40" i="26"/>
  <c r="AB41" i="26"/>
  <c r="AB42" i="26"/>
  <c r="AB43" i="26"/>
  <c r="AB44" i="26"/>
  <c r="AB45" i="26"/>
  <c r="AB46" i="26"/>
  <c r="AB47" i="26"/>
  <c r="AB48" i="26"/>
  <c r="AB49" i="26"/>
  <c r="AB50" i="26"/>
  <c r="AB51" i="26"/>
  <c r="AB53" i="26"/>
  <c r="AB54" i="26"/>
  <c r="AB55" i="26"/>
  <c r="AB56" i="26"/>
  <c r="AB57" i="26"/>
  <c r="AB58" i="26"/>
  <c r="AB59" i="26"/>
  <c r="AB60" i="26"/>
  <c r="AB61" i="26"/>
  <c r="AB62" i="26"/>
  <c r="AB63" i="26"/>
  <c r="AB52" i="10"/>
  <c r="AB38" i="10"/>
  <c r="AB23" i="10"/>
  <c r="AB5" i="10"/>
  <c r="AB52" i="9"/>
  <c r="AB38" i="9"/>
  <c r="AB23" i="9"/>
  <c r="AB5" i="9"/>
  <c r="AB52" i="5"/>
  <c r="AB38" i="5"/>
  <c r="AB23" i="5"/>
  <c r="AB5" i="5"/>
  <c r="AB52" i="4"/>
  <c r="AB38" i="4"/>
  <c r="AB23" i="4"/>
  <c r="AB5" i="4"/>
  <c r="AB52" i="3"/>
  <c r="AB38" i="3"/>
  <c r="AB23" i="3"/>
  <c r="AB5" i="3"/>
  <c r="AB52" i="2"/>
  <c r="AB38" i="2"/>
  <c r="AB23" i="2"/>
  <c r="AB5" i="2"/>
  <c r="AB52" i="1"/>
  <c r="AB38" i="1"/>
  <c r="AB23" i="1"/>
  <c r="AB52" i="18"/>
  <c r="AB38" i="18"/>
  <c r="AB23" i="18"/>
  <c r="AB5" i="18"/>
  <c r="AB52" i="19"/>
  <c r="AB38" i="19"/>
  <c r="AB23" i="19"/>
  <c r="AB5" i="19"/>
  <c r="AB52" i="20"/>
  <c r="AB38" i="20"/>
  <c r="AB23" i="20"/>
  <c r="AB5" i="20"/>
  <c r="AB52" i="21"/>
  <c r="AB38" i="21"/>
  <c r="AB23" i="21"/>
  <c r="AB5" i="21"/>
  <c r="AB52" i="22"/>
  <c r="AB38" i="22"/>
  <c r="AB23" i="22"/>
  <c r="AB5" i="22"/>
  <c r="AB52" i="24"/>
  <c r="AB38" i="24"/>
  <c r="AB23" i="24"/>
  <c r="AB5" i="24"/>
  <c r="AC25" i="17" l="1"/>
  <c r="AC15" i="17"/>
  <c r="AC50" i="17"/>
  <c r="AC17" i="17"/>
  <c r="AB54" i="16"/>
  <c r="AD54" i="16" s="1"/>
  <c r="AB25" i="16"/>
  <c r="AD25" i="16" s="1"/>
  <c r="AB40" i="16"/>
  <c r="AB48" i="16"/>
  <c r="AB69" i="16"/>
  <c r="AD69" i="16" s="1"/>
  <c r="AC38" i="17"/>
  <c r="AC63" i="17"/>
  <c r="AC65" i="17"/>
  <c r="AC26" i="17"/>
  <c r="AC54" i="17"/>
  <c r="AC22" i="17"/>
  <c r="AC35" i="17"/>
  <c r="AC55" i="17"/>
  <c r="AC39" i="17"/>
  <c r="AC10" i="17"/>
  <c r="AC47" i="17"/>
  <c r="AC23" i="17"/>
  <c r="AC42" i="17"/>
  <c r="AC52" i="17"/>
  <c r="AC14" i="17"/>
  <c r="AC60" i="17"/>
  <c r="AC61" i="17"/>
  <c r="AC66" i="17"/>
  <c r="AC34" i="17"/>
  <c r="AC48" i="17"/>
  <c r="AC32" i="17"/>
  <c r="AC13" i="17"/>
  <c r="AC21" i="17"/>
  <c r="AC18" i="17"/>
  <c r="AC45" i="17"/>
  <c r="AC31" i="17"/>
  <c r="AC62" i="17"/>
  <c r="AC36" i="17"/>
  <c r="AC33" i="17"/>
  <c r="AC64" i="17"/>
  <c r="AC56" i="17"/>
  <c r="AC4" i="26"/>
  <c r="AB38" i="13"/>
  <c r="AB66" i="16"/>
  <c r="AD66" i="16" s="1"/>
  <c r="AB56" i="16"/>
  <c r="AB21" i="16"/>
  <c r="AD21" i="16" s="1"/>
  <c r="AB52" i="16"/>
  <c r="AD52" i="16" s="1"/>
  <c r="AB23" i="13"/>
  <c r="AB65" i="16"/>
  <c r="AB22" i="16"/>
  <c r="AB18" i="16"/>
  <c r="AD18" i="16" s="1"/>
  <c r="AB13" i="16"/>
  <c r="AD13" i="16" s="1"/>
  <c r="Z58" i="16"/>
  <c r="Z48" i="16"/>
  <c r="AB26" i="16"/>
  <c r="AD26" i="16" s="1"/>
  <c r="AB67" i="16"/>
  <c r="AD67" i="16" s="1"/>
  <c r="AB33" i="16"/>
  <c r="Z23" i="16"/>
  <c r="AD23" i="16" s="1"/>
  <c r="AB43" i="16"/>
  <c r="AD43" i="16" s="1"/>
  <c r="AC5" i="13"/>
  <c r="AB37" i="16"/>
  <c r="AD37" i="16" s="1"/>
  <c r="Z29" i="16"/>
  <c r="Z44" i="16"/>
  <c r="AB62" i="16"/>
  <c r="AB14" i="16"/>
  <c r="AB68" i="16"/>
  <c r="AD68" i="16" s="1"/>
  <c r="Z47" i="16"/>
  <c r="AB24" i="16"/>
  <c r="AB32" i="16"/>
  <c r="AB16" i="16"/>
  <c r="AB60" i="16"/>
  <c r="AD60" i="16" s="1"/>
  <c r="AB34" i="16"/>
  <c r="AD34" i="16" s="1"/>
  <c r="AB28" i="16"/>
  <c r="AD28" i="16" s="1"/>
  <c r="AB61" i="16"/>
  <c r="AD61" i="16" s="1"/>
  <c r="Z33" i="16"/>
  <c r="AB49" i="16"/>
  <c r="AB50" i="16"/>
  <c r="AD50" i="16" s="1"/>
  <c r="AB31" i="16"/>
  <c r="Z49" i="16"/>
  <c r="Z16" i="16"/>
  <c r="AB64" i="16"/>
  <c r="AB35" i="16"/>
  <c r="AD35" i="16" s="1"/>
  <c r="AB41" i="16"/>
  <c r="AB15" i="16"/>
  <c r="AB19" i="16"/>
  <c r="AD19" i="16" s="1"/>
  <c r="AB42" i="16"/>
  <c r="AD42" i="16" s="1"/>
  <c r="AB47" i="16"/>
  <c r="Z57" i="16"/>
  <c r="AD57" i="16" s="1"/>
  <c r="AB51" i="16"/>
  <c r="AD51" i="16" s="1"/>
  <c r="AB20" i="16"/>
  <c r="AD20" i="16" s="1"/>
  <c r="Z39" i="16"/>
  <c r="Z62" i="16"/>
  <c r="AB46" i="16"/>
  <c r="AD46" i="16" s="1"/>
  <c r="AB39" i="16"/>
  <c r="AB53" i="16"/>
  <c r="AD53" i="16" s="1"/>
  <c r="AB27" i="16"/>
  <c r="AD27" i="16" s="1"/>
  <c r="Z22" i="16"/>
  <c r="Z56" i="16"/>
  <c r="Z55" i="16"/>
  <c r="AD55" i="16" s="1"/>
  <c r="AB17" i="16"/>
  <c r="AD17" i="16" s="1"/>
  <c r="Z40" i="16"/>
  <c r="Z38" i="16"/>
  <c r="AD38" i="16" s="1"/>
  <c r="Z31" i="16"/>
  <c r="Z32" i="16"/>
  <c r="AB36" i="16"/>
  <c r="AD36" i="16" s="1"/>
  <c r="Z15" i="16"/>
  <c r="Z24" i="16"/>
  <c r="Z63" i="16"/>
  <c r="Z14" i="16"/>
  <c r="Z41" i="16"/>
  <c r="Z64" i="16"/>
  <c r="AB63" i="16"/>
  <c r="Z65" i="16"/>
  <c r="AC4" i="1"/>
  <c r="AB52" i="13"/>
  <c r="AB4" i="24"/>
  <c r="AB4" i="10"/>
  <c r="AB4" i="9"/>
  <c r="AB4" i="5"/>
  <c r="AB4" i="4"/>
  <c r="AB4" i="3"/>
  <c r="AB4" i="2"/>
  <c r="AB4" i="18"/>
  <c r="AB4" i="19"/>
  <c r="AB4" i="20"/>
  <c r="AB4" i="21"/>
  <c r="AB4" i="22"/>
  <c r="AD40" i="16" l="1"/>
  <c r="AD48" i="16"/>
  <c r="AD56" i="16"/>
  <c r="AC43" i="17"/>
  <c r="AC57" i="17"/>
  <c r="AC28" i="17"/>
  <c r="AB44" i="16"/>
  <c r="AD44" i="16" s="1"/>
  <c r="AD33" i="16"/>
  <c r="AD62" i="16"/>
  <c r="AD22" i="16"/>
  <c r="AD65" i="16"/>
  <c r="AD41" i="16"/>
  <c r="AD47" i="16"/>
  <c r="AD14" i="16"/>
  <c r="AB58" i="16"/>
  <c r="AD58" i="16" s="1"/>
  <c r="AB29" i="16"/>
  <c r="AD29" i="16" s="1"/>
  <c r="AC4" i="13"/>
  <c r="AD16" i="16"/>
  <c r="AD39" i="16"/>
  <c r="AD24" i="16"/>
  <c r="AD15" i="16"/>
  <c r="AD32" i="16"/>
  <c r="AD49" i="16"/>
  <c r="AD64" i="16"/>
  <c r="AD63" i="16"/>
  <c r="AD31" i="16"/>
  <c r="AB52" i="25"/>
  <c r="AB38" i="25"/>
  <c r="AB23" i="25"/>
  <c r="AB5" i="25"/>
  <c r="AB5" i="1"/>
  <c r="Z5" i="10"/>
  <c r="AA5" i="10"/>
  <c r="AA23" i="21"/>
  <c r="AA5" i="20"/>
  <c r="E4" i="26"/>
  <c r="F4" i="26"/>
  <c r="G4" i="26"/>
  <c r="H4" i="26"/>
  <c r="P4" i="26"/>
  <c r="Q4" i="26"/>
  <c r="C6" i="26"/>
  <c r="D6" i="26"/>
  <c r="E6" i="26"/>
  <c r="F6" i="26"/>
  <c r="G6" i="26"/>
  <c r="H6" i="26"/>
  <c r="I6" i="26"/>
  <c r="J6" i="26"/>
  <c r="K6" i="26"/>
  <c r="L6" i="26"/>
  <c r="M6" i="26"/>
  <c r="N6" i="26"/>
  <c r="O6" i="26"/>
  <c r="P6" i="26"/>
  <c r="Q6" i="26"/>
  <c r="R6" i="26"/>
  <c r="S6" i="26"/>
  <c r="T6" i="26"/>
  <c r="U6" i="26"/>
  <c r="V6" i="26"/>
  <c r="W6" i="26"/>
  <c r="X6" i="26"/>
  <c r="Y6" i="26"/>
  <c r="Z6" i="26"/>
  <c r="AA6" i="26"/>
  <c r="E7" i="26"/>
  <c r="F7" i="26"/>
  <c r="G7" i="26"/>
  <c r="H7" i="26"/>
  <c r="J7" i="26"/>
  <c r="M7" i="26"/>
  <c r="O7" i="26"/>
  <c r="P7" i="26"/>
  <c r="Q7" i="26"/>
  <c r="R7" i="26"/>
  <c r="S7" i="26"/>
  <c r="T7" i="26"/>
  <c r="U7" i="26"/>
  <c r="V7" i="26"/>
  <c r="W7" i="26"/>
  <c r="X7" i="26"/>
  <c r="Y7" i="26"/>
  <c r="Z7" i="26"/>
  <c r="AA7" i="26"/>
  <c r="E8" i="26"/>
  <c r="F8" i="26"/>
  <c r="G8" i="26"/>
  <c r="H8" i="26"/>
  <c r="J8" i="26"/>
  <c r="M8" i="26"/>
  <c r="O8" i="26"/>
  <c r="P8" i="26"/>
  <c r="Q8" i="26"/>
  <c r="R8" i="26"/>
  <c r="S8" i="26"/>
  <c r="T8" i="26"/>
  <c r="U8" i="26"/>
  <c r="V8" i="26"/>
  <c r="W8" i="26"/>
  <c r="X8" i="26"/>
  <c r="Y8" i="26"/>
  <c r="Z8" i="26"/>
  <c r="AA8" i="26"/>
  <c r="C9" i="26"/>
  <c r="E9" i="26"/>
  <c r="F9" i="26"/>
  <c r="G9" i="26"/>
  <c r="H9" i="26"/>
  <c r="I9" i="26"/>
  <c r="J9" i="26"/>
  <c r="K9" i="26"/>
  <c r="L9" i="26"/>
  <c r="M9" i="26"/>
  <c r="O9" i="26"/>
  <c r="P9" i="26"/>
  <c r="Q9" i="26"/>
  <c r="R9" i="26"/>
  <c r="S9" i="26"/>
  <c r="T9" i="26"/>
  <c r="U9" i="26"/>
  <c r="V9" i="26"/>
  <c r="W9" i="26"/>
  <c r="X9" i="26"/>
  <c r="Y9" i="26"/>
  <c r="Z9" i="26"/>
  <c r="AA9" i="26"/>
  <c r="E10" i="26"/>
  <c r="F10" i="26"/>
  <c r="G10" i="26"/>
  <c r="H10" i="26"/>
  <c r="J10" i="26"/>
  <c r="M10" i="26"/>
  <c r="O10" i="26"/>
  <c r="P10" i="26"/>
  <c r="Q10" i="26"/>
  <c r="R10" i="26"/>
  <c r="S10" i="26"/>
  <c r="T10" i="26"/>
  <c r="U10" i="26"/>
  <c r="V10" i="26"/>
  <c r="W10" i="26"/>
  <c r="X10" i="26"/>
  <c r="Y10" i="26"/>
  <c r="Z10" i="26"/>
  <c r="AA10" i="26"/>
  <c r="E11" i="26"/>
  <c r="F11" i="26"/>
  <c r="G11" i="26"/>
  <c r="H11" i="26"/>
  <c r="J11" i="26"/>
  <c r="M11" i="26"/>
  <c r="O11" i="26"/>
  <c r="P11" i="26"/>
  <c r="Q11" i="26"/>
  <c r="R11" i="26"/>
  <c r="S11" i="26"/>
  <c r="T11" i="26"/>
  <c r="U11" i="26"/>
  <c r="V11" i="26"/>
  <c r="W11" i="26"/>
  <c r="X11" i="26"/>
  <c r="Y11" i="26"/>
  <c r="Z11" i="26"/>
  <c r="AA11" i="26"/>
  <c r="E12" i="26"/>
  <c r="F12" i="26"/>
  <c r="G12" i="26"/>
  <c r="H12" i="26"/>
  <c r="J12" i="26"/>
  <c r="M12" i="26"/>
  <c r="O12" i="26"/>
  <c r="P12" i="26"/>
  <c r="Q12" i="26"/>
  <c r="R12" i="26"/>
  <c r="S12" i="26"/>
  <c r="T12" i="26"/>
  <c r="U12" i="26"/>
  <c r="V12" i="26"/>
  <c r="W12" i="26"/>
  <c r="X12" i="26"/>
  <c r="Y12" i="26"/>
  <c r="Z12" i="26"/>
  <c r="AA12" i="26"/>
  <c r="E13" i="26"/>
  <c r="F13" i="26"/>
  <c r="G13" i="26"/>
  <c r="H13" i="26"/>
  <c r="J13" i="26"/>
  <c r="M13" i="26"/>
  <c r="O13" i="26"/>
  <c r="P13" i="26"/>
  <c r="Q13" i="26"/>
  <c r="R13" i="26"/>
  <c r="S13" i="26"/>
  <c r="T13" i="26"/>
  <c r="U13" i="26"/>
  <c r="V13" i="26"/>
  <c r="W13" i="26"/>
  <c r="X13" i="26"/>
  <c r="Y13" i="26"/>
  <c r="Z13" i="26"/>
  <c r="AA13" i="26"/>
  <c r="E14" i="26"/>
  <c r="F14" i="26"/>
  <c r="G14" i="26"/>
  <c r="H14" i="26"/>
  <c r="J14" i="26"/>
  <c r="M14" i="26"/>
  <c r="O14" i="26"/>
  <c r="P14" i="26"/>
  <c r="Q14" i="26"/>
  <c r="R14" i="26"/>
  <c r="S14" i="26"/>
  <c r="T14" i="26"/>
  <c r="U14" i="26"/>
  <c r="V14" i="26"/>
  <c r="W14" i="26"/>
  <c r="X14" i="26"/>
  <c r="Y14" i="26"/>
  <c r="Z14" i="26"/>
  <c r="AA14" i="26"/>
  <c r="E15" i="26"/>
  <c r="F15" i="26"/>
  <c r="G15" i="26"/>
  <c r="H15" i="26"/>
  <c r="J15" i="26"/>
  <c r="M15" i="26"/>
  <c r="O15" i="26"/>
  <c r="P15" i="26"/>
  <c r="Q15" i="26"/>
  <c r="R15" i="26"/>
  <c r="S15" i="26"/>
  <c r="T15" i="26"/>
  <c r="U15" i="26"/>
  <c r="V15" i="26"/>
  <c r="W15" i="26"/>
  <c r="X15" i="26"/>
  <c r="Y15" i="26"/>
  <c r="Z15" i="26"/>
  <c r="AA15" i="26"/>
  <c r="E16" i="26"/>
  <c r="F16" i="26"/>
  <c r="G16" i="26"/>
  <c r="H16" i="26"/>
  <c r="J16" i="26"/>
  <c r="M16" i="26"/>
  <c r="O16" i="26"/>
  <c r="P16" i="26"/>
  <c r="Q16" i="26"/>
  <c r="R16" i="26"/>
  <c r="S16" i="26"/>
  <c r="T16" i="26"/>
  <c r="U16" i="26"/>
  <c r="V16" i="26"/>
  <c r="W16" i="26"/>
  <c r="X16" i="26"/>
  <c r="Y16" i="26"/>
  <c r="Z16" i="26"/>
  <c r="AA16" i="26"/>
  <c r="E17" i="26"/>
  <c r="F17" i="26"/>
  <c r="G17" i="26"/>
  <c r="H17" i="26"/>
  <c r="J17" i="26"/>
  <c r="M17" i="26"/>
  <c r="O17" i="26"/>
  <c r="P17" i="26"/>
  <c r="Q17" i="26"/>
  <c r="R17" i="26"/>
  <c r="S17" i="26"/>
  <c r="T17" i="26"/>
  <c r="U17" i="26"/>
  <c r="V17" i="26"/>
  <c r="W17" i="26"/>
  <c r="X17" i="26"/>
  <c r="Y17" i="26"/>
  <c r="Z17" i="26"/>
  <c r="AA17" i="26"/>
  <c r="E18" i="26"/>
  <c r="F18" i="26"/>
  <c r="G18" i="26"/>
  <c r="H18" i="26"/>
  <c r="J18" i="26"/>
  <c r="M18" i="26"/>
  <c r="O18" i="26"/>
  <c r="P18" i="26"/>
  <c r="Q18" i="26"/>
  <c r="R18" i="26"/>
  <c r="S18" i="26"/>
  <c r="T18" i="26"/>
  <c r="U18" i="26"/>
  <c r="V18" i="26"/>
  <c r="W18" i="26"/>
  <c r="X18" i="26"/>
  <c r="Y18" i="26"/>
  <c r="Z18" i="26"/>
  <c r="AA18" i="26"/>
  <c r="E19" i="26"/>
  <c r="F19" i="26"/>
  <c r="G19" i="26"/>
  <c r="H19" i="26"/>
  <c r="J19" i="26"/>
  <c r="M19" i="26"/>
  <c r="O19" i="26"/>
  <c r="P19" i="26"/>
  <c r="Q19" i="26"/>
  <c r="R19" i="26"/>
  <c r="S19" i="26"/>
  <c r="T19" i="26"/>
  <c r="U19" i="26"/>
  <c r="V19" i="26"/>
  <c r="W19" i="26"/>
  <c r="X19" i="26"/>
  <c r="Y19" i="26"/>
  <c r="Z19" i="26"/>
  <c r="AA19" i="26"/>
  <c r="E20" i="26"/>
  <c r="F20" i="26"/>
  <c r="G20" i="26"/>
  <c r="H20" i="26"/>
  <c r="J20" i="26"/>
  <c r="M20" i="26"/>
  <c r="O20" i="26"/>
  <c r="P20" i="26"/>
  <c r="Q20" i="26"/>
  <c r="R20" i="26"/>
  <c r="S20" i="26"/>
  <c r="T20" i="26"/>
  <c r="U20" i="26"/>
  <c r="V20" i="26"/>
  <c r="W20" i="26"/>
  <c r="X20" i="26"/>
  <c r="Y20" i="26"/>
  <c r="Z20" i="26"/>
  <c r="AA20" i="26"/>
  <c r="E21" i="26"/>
  <c r="F21" i="26"/>
  <c r="G21" i="26"/>
  <c r="H21" i="26"/>
  <c r="J21" i="26"/>
  <c r="M21" i="26"/>
  <c r="O21" i="26"/>
  <c r="P21" i="26"/>
  <c r="Q21" i="26"/>
  <c r="R21" i="26"/>
  <c r="S21" i="26"/>
  <c r="T21" i="26"/>
  <c r="U21" i="26"/>
  <c r="V21" i="26"/>
  <c r="W21" i="26"/>
  <c r="X21" i="26"/>
  <c r="Y21" i="26"/>
  <c r="Z21" i="26"/>
  <c r="AA21" i="26"/>
  <c r="E22" i="26"/>
  <c r="F22" i="26"/>
  <c r="G22" i="26"/>
  <c r="H22" i="26"/>
  <c r="J22" i="26"/>
  <c r="M22" i="26"/>
  <c r="O22" i="26"/>
  <c r="P22" i="26"/>
  <c r="Q22" i="26"/>
  <c r="R22" i="26"/>
  <c r="S22" i="26"/>
  <c r="T22" i="26"/>
  <c r="U22" i="26"/>
  <c r="V22" i="26"/>
  <c r="W22" i="26"/>
  <c r="X22" i="26"/>
  <c r="Y22" i="26"/>
  <c r="Z22" i="26"/>
  <c r="AA22"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C25" i="26"/>
  <c r="D25" i="26"/>
  <c r="E25" i="26"/>
  <c r="F25" i="26"/>
  <c r="G25" i="26"/>
  <c r="H25" i="26"/>
  <c r="I25" i="26"/>
  <c r="J25" i="26"/>
  <c r="K25" i="26"/>
  <c r="L25" i="26"/>
  <c r="M25" i="26"/>
  <c r="N25" i="26"/>
  <c r="O25" i="26"/>
  <c r="P25" i="26"/>
  <c r="Q25" i="26"/>
  <c r="R25" i="26"/>
  <c r="S25" i="26"/>
  <c r="T25" i="26"/>
  <c r="U25" i="26"/>
  <c r="V25" i="26"/>
  <c r="W25" i="26"/>
  <c r="X25" i="26"/>
  <c r="Y25" i="26"/>
  <c r="Z25" i="26"/>
  <c r="AA25"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C27" i="26"/>
  <c r="D27" i="26"/>
  <c r="E27" i="26"/>
  <c r="F27" i="26"/>
  <c r="G27" i="26"/>
  <c r="H27" i="26"/>
  <c r="I27" i="26"/>
  <c r="J27" i="26"/>
  <c r="K27" i="26"/>
  <c r="L27" i="26"/>
  <c r="M27" i="26"/>
  <c r="N27" i="26"/>
  <c r="O27" i="26"/>
  <c r="P27" i="26"/>
  <c r="Q27" i="26"/>
  <c r="R27" i="26"/>
  <c r="S27" i="26"/>
  <c r="T27" i="26"/>
  <c r="U27" i="26"/>
  <c r="V27" i="26"/>
  <c r="W27" i="26"/>
  <c r="X27" i="26"/>
  <c r="Y27" i="26"/>
  <c r="Z27" i="26"/>
  <c r="AA27" i="26"/>
  <c r="C28" i="26"/>
  <c r="D28" i="26"/>
  <c r="E28" i="26"/>
  <c r="F28" i="26"/>
  <c r="G28" i="26"/>
  <c r="H28" i="26"/>
  <c r="I28" i="26"/>
  <c r="J28" i="26"/>
  <c r="K28" i="26"/>
  <c r="L28" i="26"/>
  <c r="M28" i="26"/>
  <c r="N28" i="26"/>
  <c r="O28" i="26"/>
  <c r="P28" i="26"/>
  <c r="Q28" i="26"/>
  <c r="R28" i="26"/>
  <c r="S28" i="26"/>
  <c r="T28" i="26"/>
  <c r="U28" i="26"/>
  <c r="V28" i="26"/>
  <c r="W28" i="26"/>
  <c r="X28" i="26"/>
  <c r="Y28" i="26"/>
  <c r="Z28" i="26"/>
  <c r="AA28" i="26"/>
  <c r="C29" i="26"/>
  <c r="D29" i="26"/>
  <c r="E29" i="26"/>
  <c r="F29" i="26"/>
  <c r="G29" i="26"/>
  <c r="H29" i="26"/>
  <c r="I29" i="26"/>
  <c r="J29" i="26"/>
  <c r="K29" i="26"/>
  <c r="L29" i="26"/>
  <c r="M29" i="26"/>
  <c r="N29" i="26"/>
  <c r="O29" i="26"/>
  <c r="P29" i="26"/>
  <c r="Q29" i="26"/>
  <c r="R29" i="26"/>
  <c r="S29" i="26"/>
  <c r="T29" i="26"/>
  <c r="U29" i="26"/>
  <c r="V29" i="26"/>
  <c r="W29" i="26"/>
  <c r="X29" i="26"/>
  <c r="Y29" i="26"/>
  <c r="Z29" i="26"/>
  <c r="AA29" i="26"/>
  <c r="C30" i="26"/>
  <c r="D30" i="26"/>
  <c r="E30" i="26"/>
  <c r="F30" i="26"/>
  <c r="G30" i="26"/>
  <c r="H30" i="26"/>
  <c r="I30" i="26"/>
  <c r="J30" i="26"/>
  <c r="K30" i="26"/>
  <c r="L30" i="26"/>
  <c r="M30" i="26"/>
  <c r="N30" i="26"/>
  <c r="O30" i="26"/>
  <c r="P30" i="26"/>
  <c r="Q30" i="26"/>
  <c r="R30" i="26"/>
  <c r="S30" i="26"/>
  <c r="T30" i="26"/>
  <c r="U30" i="26"/>
  <c r="V30" i="26"/>
  <c r="W30" i="26"/>
  <c r="X30" i="26"/>
  <c r="Y30" i="26"/>
  <c r="Z30" i="26"/>
  <c r="AA30" i="26"/>
  <c r="C31" i="26"/>
  <c r="D31" i="26"/>
  <c r="E31" i="26"/>
  <c r="F31" i="26"/>
  <c r="G31" i="26"/>
  <c r="H31" i="26"/>
  <c r="I31" i="26"/>
  <c r="J31" i="26"/>
  <c r="K31" i="26"/>
  <c r="L31" i="26"/>
  <c r="M31" i="26"/>
  <c r="N31" i="26"/>
  <c r="O31" i="26"/>
  <c r="P31" i="26"/>
  <c r="Q31" i="26"/>
  <c r="R31" i="26"/>
  <c r="S31" i="26"/>
  <c r="T31" i="26"/>
  <c r="U31" i="26"/>
  <c r="V31" i="26"/>
  <c r="W31" i="26"/>
  <c r="X31" i="26"/>
  <c r="Y31" i="26"/>
  <c r="Z31" i="26"/>
  <c r="AA31" i="26"/>
  <c r="C32" i="26"/>
  <c r="D32" i="26"/>
  <c r="E32" i="26"/>
  <c r="F32" i="26"/>
  <c r="G32" i="26"/>
  <c r="H32" i="26"/>
  <c r="I32" i="26"/>
  <c r="J32" i="26"/>
  <c r="K32" i="26"/>
  <c r="L32" i="26"/>
  <c r="M32" i="26"/>
  <c r="N32" i="26"/>
  <c r="O32" i="26"/>
  <c r="P32" i="26"/>
  <c r="Q32" i="26"/>
  <c r="R32" i="26"/>
  <c r="S32" i="26"/>
  <c r="T32" i="26"/>
  <c r="U32" i="26"/>
  <c r="V32" i="26"/>
  <c r="W32" i="26"/>
  <c r="X32" i="26"/>
  <c r="Y32" i="26"/>
  <c r="Z32" i="26"/>
  <c r="AA32" i="26"/>
  <c r="C33" i="26"/>
  <c r="D33" i="26"/>
  <c r="E33" i="26"/>
  <c r="F33" i="26"/>
  <c r="G33" i="26"/>
  <c r="H33" i="26"/>
  <c r="I33" i="26"/>
  <c r="J33" i="26"/>
  <c r="K33" i="26"/>
  <c r="L33" i="26"/>
  <c r="M33" i="26"/>
  <c r="N33" i="26"/>
  <c r="O33" i="26"/>
  <c r="P33" i="26"/>
  <c r="Q33" i="26"/>
  <c r="R33" i="26"/>
  <c r="S33" i="26"/>
  <c r="T33" i="26"/>
  <c r="U33" i="26"/>
  <c r="V33" i="26"/>
  <c r="W33" i="26"/>
  <c r="X33" i="26"/>
  <c r="Y33" i="26"/>
  <c r="Z33" i="26"/>
  <c r="AA33" i="26"/>
  <c r="C34" i="26"/>
  <c r="D34" i="26"/>
  <c r="E34" i="26"/>
  <c r="F34" i="26"/>
  <c r="G34" i="26"/>
  <c r="H34" i="26"/>
  <c r="I34" i="26"/>
  <c r="J34" i="26"/>
  <c r="K34" i="26"/>
  <c r="L34" i="26"/>
  <c r="M34" i="26"/>
  <c r="N34" i="26"/>
  <c r="O34" i="26"/>
  <c r="P34" i="26"/>
  <c r="Q34" i="26"/>
  <c r="R34" i="26"/>
  <c r="S34" i="26"/>
  <c r="T34" i="26"/>
  <c r="U34" i="26"/>
  <c r="V34" i="26"/>
  <c r="W34" i="26"/>
  <c r="X34" i="26"/>
  <c r="Y34" i="26"/>
  <c r="Z34" i="26"/>
  <c r="AA34" i="26"/>
  <c r="C35" i="26"/>
  <c r="D35" i="26"/>
  <c r="E35" i="26"/>
  <c r="F35" i="26"/>
  <c r="G35" i="26"/>
  <c r="H35" i="26"/>
  <c r="I35" i="26"/>
  <c r="J35" i="26"/>
  <c r="K35" i="26"/>
  <c r="L35" i="26"/>
  <c r="M35" i="26"/>
  <c r="N35" i="26"/>
  <c r="O35" i="26"/>
  <c r="P35" i="26"/>
  <c r="Q35" i="26"/>
  <c r="R35" i="26"/>
  <c r="S35" i="26"/>
  <c r="T35" i="26"/>
  <c r="U35" i="26"/>
  <c r="V35" i="26"/>
  <c r="W35" i="26"/>
  <c r="X35" i="26"/>
  <c r="Y35" i="26"/>
  <c r="Z35" i="26"/>
  <c r="AA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C42" i="26"/>
  <c r="D42" i="26"/>
  <c r="E42" i="26"/>
  <c r="F42" i="26"/>
  <c r="G42" i="26"/>
  <c r="H42" i="26"/>
  <c r="I42" i="26"/>
  <c r="J42" i="26"/>
  <c r="K42" i="26"/>
  <c r="L42" i="26"/>
  <c r="M42" i="26"/>
  <c r="N42" i="26"/>
  <c r="O42" i="26"/>
  <c r="P42" i="26"/>
  <c r="Q42" i="26"/>
  <c r="R42" i="26"/>
  <c r="S42" i="26"/>
  <c r="T42" i="26"/>
  <c r="U42" i="26"/>
  <c r="V42" i="26"/>
  <c r="W42" i="26"/>
  <c r="X42" i="26"/>
  <c r="Y42" i="26"/>
  <c r="Z42" i="26"/>
  <c r="AA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C49" i="26"/>
  <c r="D49" i="26"/>
  <c r="E49" i="26"/>
  <c r="F49" i="26"/>
  <c r="G49" i="26"/>
  <c r="H49" i="26"/>
  <c r="I49" i="26"/>
  <c r="J49" i="26"/>
  <c r="K49" i="26"/>
  <c r="L49" i="26"/>
  <c r="M49" i="26"/>
  <c r="N49" i="26"/>
  <c r="O49" i="26"/>
  <c r="P49" i="26"/>
  <c r="Q49" i="26"/>
  <c r="R49" i="26"/>
  <c r="S49" i="26"/>
  <c r="T49" i="26"/>
  <c r="U49" i="26"/>
  <c r="V49" i="26"/>
  <c r="W49" i="26"/>
  <c r="X49" i="26"/>
  <c r="Y49" i="26"/>
  <c r="Z49" i="26"/>
  <c r="AA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C56" i="26"/>
  <c r="D56" i="26"/>
  <c r="E56" i="26"/>
  <c r="F56" i="26"/>
  <c r="G56" i="26"/>
  <c r="H56" i="26"/>
  <c r="I56" i="26"/>
  <c r="J56" i="26"/>
  <c r="K56" i="26"/>
  <c r="L56" i="26"/>
  <c r="M56" i="26"/>
  <c r="N56" i="26"/>
  <c r="O56" i="26"/>
  <c r="P56" i="26"/>
  <c r="Q56" i="26"/>
  <c r="R56" i="26"/>
  <c r="S56" i="26"/>
  <c r="T56" i="26"/>
  <c r="U56" i="26"/>
  <c r="V56" i="26"/>
  <c r="W56" i="26"/>
  <c r="X56" i="26"/>
  <c r="Y56" i="26"/>
  <c r="Z56" i="26"/>
  <c r="AA56" i="26"/>
  <c r="C57" i="26"/>
  <c r="D57" i="26"/>
  <c r="E57" i="26"/>
  <c r="F57" i="26"/>
  <c r="G57" i="26"/>
  <c r="H57" i="26"/>
  <c r="I57" i="26"/>
  <c r="J57" i="26"/>
  <c r="K57" i="26"/>
  <c r="L57" i="26"/>
  <c r="M57" i="26"/>
  <c r="N57" i="26"/>
  <c r="O57" i="26"/>
  <c r="P57" i="26"/>
  <c r="Q57" i="26"/>
  <c r="R57" i="26"/>
  <c r="S57" i="26"/>
  <c r="T57" i="26"/>
  <c r="U57" i="26"/>
  <c r="V57" i="26"/>
  <c r="W57" i="26"/>
  <c r="X57" i="26"/>
  <c r="Y57" i="26"/>
  <c r="Z57" i="26"/>
  <c r="AA57" i="26"/>
  <c r="C58" i="26"/>
  <c r="D58" i="26"/>
  <c r="E58" i="26"/>
  <c r="F58" i="26"/>
  <c r="G58" i="26"/>
  <c r="H58" i="26"/>
  <c r="I58" i="26"/>
  <c r="J58" i="26"/>
  <c r="K58" i="26"/>
  <c r="L58" i="26"/>
  <c r="M58" i="26"/>
  <c r="N58" i="26"/>
  <c r="O58" i="26"/>
  <c r="P58" i="26"/>
  <c r="Q58" i="26"/>
  <c r="R58" i="26"/>
  <c r="S58" i="26"/>
  <c r="T58" i="26"/>
  <c r="U58" i="26"/>
  <c r="V58" i="26"/>
  <c r="W58" i="26"/>
  <c r="X58" i="26"/>
  <c r="Y58" i="26"/>
  <c r="Z58" i="26"/>
  <c r="AA58" i="26"/>
  <c r="C59" i="26"/>
  <c r="D59" i="26"/>
  <c r="E59" i="26"/>
  <c r="F59" i="26"/>
  <c r="G59" i="26"/>
  <c r="H59" i="26"/>
  <c r="I59" i="26"/>
  <c r="J59" i="26"/>
  <c r="K59" i="26"/>
  <c r="L59" i="26"/>
  <c r="M59" i="26"/>
  <c r="N59" i="26"/>
  <c r="O59" i="26"/>
  <c r="P59" i="26"/>
  <c r="Q59" i="26"/>
  <c r="R59" i="26"/>
  <c r="S59" i="26"/>
  <c r="T59" i="26"/>
  <c r="U59" i="26"/>
  <c r="V59" i="26"/>
  <c r="W59" i="26"/>
  <c r="X59" i="26"/>
  <c r="Y59" i="26"/>
  <c r="Z59" i="26"/>
  <c r="AA59" i="26"/>
  <c r="C60" i="26"/>
  <c r="D60" i="26"/>
  <c r="E60" i="26"/>
  <c r="F60" i="26"/>
  <c r="G60" i="26"/>
  <c r="H60" i="26"/>
  <c r="I60" i="26"/>
  <c r="J60" i="26"/>
  <c r="K60" i="26"/>
  <c r="L60" i="26"/>
  <c r="M60" i="26"/>
  <c r="N60" i="26"/>
  <c r="O60" i="26"/>
  <c r="P60" i="26"/>
  <c r="Q60" i="26"/>
  <c r="R60" i="26"/>
  <c r="S60" i="26"/>
  <c r="T60" i="26"/>
  <c r="U60" i="26"/>
  <c r="V60" i="26"/>
  <c r="W60" i="26"/>
  <c r="X60" i="26"/>
  <c r="Y60" i="26"/>
  <c r="Z60" i="26"/>
  <c r="AA60" i="26"/>
  <c r="C61" i="26"/>
  <c r="D61" i="26"/>
  <c r="E61" i="26"/>
  <c r="F61" i="26"/>
  <c r="G61" i="26"/>
  <c r="H61" i="26"/>
  <c r="I61" i="26"/>
  <c r="J61" i="26"/>
  <c r="K61" i="26"/>
  <c r="L61" i="26"/>
  <c r="M61" i="26"/>
  <c r="N61" i="26"/>
  <c r="O61" i="26"/>
  <c r="P61" i="26"/>
  <c r="Q61" i="26"/>
  <c r="R61" i="26"/>
  <c r="S61" i="26"/>
  <c r="T61" i="26"/>
  <c r="U61" i="26"/>
  <c r="V61" i="26"/>
  <c r="W61" i="26"/>
  <c r="X61" i="26"/>
  <c r="Y61" i="26"/>
  <c r="Z61" i="26"/>
  <c r="AA61" i="26"/>
  <c r="C62" i="26"/>
  <c r="D62" i="26"/>
  <c r="E62" i="26"/>
  <c r="F62" i="26"/>
  <c r="G62" i="26"/>
  <c r="H62" i="26"/>
  <c r="I62" i="26"/>
  <c r="J62" i="26"/>
  <c r="K62" i="26"/>
  <c r="L62" i="26"/>
  <c r="M62" i="26"/>
  <c r="N62" i="26"/>
  <c r="O62" i="26"/>
  <c r="P62" i="26"/>
  <c r="Q62" i="26"/>
  <c r="R62" i="26"/>
  <c r="S62" i="26"/>
  <c r="T62" i="26"/>
  <c r="U62" i="26"/>
  <c r="V62" i="26"/>
  <c r="W62" i="26"/>
  <c r="X62" i="26"/>
  <c r="Y62" i="26"/>
  <c r="Z62" i="26"/>
  <c r="AA62" i="26"/>
  <c r="C63" i="26"/>
  <c r="D63" i="26"/>
  <c r="E63" i="26"/>
  <c r="F63" i="26"/>
  <c r="G63" i="26"/>
  <c r="H63" i="26"/>
  <c r="I63" i="26"/>
  <c r="J63" i="26"/>
  <c r="K63" i="26"/>
  <c r="L63" i="26"/>
  <c r="M63" i="26"/>
  <c r="N63" i="26"/>
  <c r="O63" i="26"/>
  <c r="P63" i="26"/>
  <c r="Q63" i="26"/>
  <c r="R63" i="26"/>
  <c r="S63" i="26"/>
  <c r="T63" i="26"/>
  <c r="U63" i="26"/>
  <c r="V63" i="26"/>
  <c r="W63" i="26"/>
  <c r="X63" i="26"/>
  <c r="Y63" i="26"/>
  <c r="Z63" i="26"/>
  <c r="AA63" i="26"/>
  <c r="B6" i="26"/>
  <c r="B9" i="26"/>
  <c r="B24" i="26"/>
  <c r="B25" i="26"/>
  <c r="B26" i="26"/>
  <c r="B27" i="26"/>
  <c r="B28" i="26"/>
  <c r="B29" i="26"/>
  <c r="B30" i="26"/>
  <c r="B31" i="26"/>
  <c r="B32" i="26"/>
  <c r="B33" i="26"/>
  <c r="B34" i="26"/>
  <c r="B35" i="26"/>
  <c r="B36" i="26"/>
  <c r="B37" i="26"/>
  <c r="B39" i="26"/>
  <c r="B40" i="26"/>
  <c r="B41" i="26"/>
  <c r="B42" i="26"/>
  <c r="B43" i="26"/>
  <c r="B44" i="26"/>
  <c r="B45" i="26"/>
  <c r="B46" i="26"/>
  <c r="B47" i="26"/>
  <c r="B48" i="26"/>
  <c r="B49" i="26"/>
  <c r="B50" i="26"/>
  <c r="B51" i="26"/>
  <c r="B53" i="26"/>
  <c r="B54" i="26"/>
  <c r="B55" i="26"/>
  <c r="B56" i="26"/>
  <c r="B57" i="26"/>
  <c r="B58" i="26"/>
  <c r="B59" i="26"/>
  <c r="B60" i="26"/>
  <c r="B61" i="26"/>
  <c r="B62" i="26"/>
  <c r="B63" i="26"/>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A5" i="25"/>
  <c r="Z5" i="25"/>
  <c r="Y5" i="25"/>
  <c r="X5" i="25"/>
  <c r="W5" i="25"/>
  <c r="V5" i="25"/>
  <c r="U5" i="25"/>
  <c r="T5" i="25"/>
  <c r="S5" i="25"/>
  <c r="R5" i="25"/>
  <c r="Q5" i="25"/>
  <c r="P5" i="25"/>
  <c r="O5" i="25"/>
  <c r="M5" i="25"/>
  <c r="J5" i="25"/>
  <c r="H5" i="25"/>
  <c r="G5" i="25"/>
  <c r="F5" i="25"/>
  <c r="E5" i="25"/>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A5" i="24"/>
  <c r="Z5" i="24"/>
  <c r="Y5" i="24"/>
  <c r="X5" i="24"/>
  <c r="W5" i="24"/>
  <c r="V5" i="24"/>
  <c r="U5" i="24"/>
  <c r="T5" i="24"/>
  <c r="S5" i="24"/>
  <c r="R5" i="24"/>
  <c r="Q5" i="24"/>
  <c r="P5" i="24"/>
  <c r="O5" i="24"/>
  <c r="N5" i="24"/>
  <c r="M5" i="24"/>
  <c r="L5" i="24"/>
  <c r="K5" i="24"/>
  <c r="J5" i="24"/>
  <c r="I5" i="24"/>
  <c r="H5" i="24"/>
  <c r="G5" i="24"/>
  <c r="F5" i="24"/>
  <c r="E5" i="24"/>
  <c r="D5" i="24"/>
  <c r="C5" i="24"/>
  <c r="B5" i="24"/>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A5" i="22"/>
  <c r="Z5" i="22"/>
  <c r="Y5" i="22"/>
  <c r="X5" i="22"/>
  <c r="W5" i="22"/>
  <c r="V5" i="22"/>
  <c r="U5" i="22"/>
  <c r="T5" i="22"/>
  <c r="S5" i="22"/>
  <c r="R5" i="22"/>
  <c r="Q5" i="22"/>
  <c r="P5" i="22"/>
  <c r="O5" i="22"/>
  <c r="M5" i="22"/>
  <c r="J5" i="22"/>
  <c r="H5" i="22"/>
  <c r="G5" i="22"/>
  <c r="F5" i="22"/>
  <c r="E5" i="22"/>
  <c r="AA52" i="21"/>
  <c r="Z52" i="21"/>
  <c r="Y52" i="21"/>
  <c r="X52" i="21"/>
  <c r="W52" i="21"/>
  <c r="V52" i="21"/>
  <c r="U52" i="21"/>
  <c r="T52" i="21"/>
  <c r="S52" i="21"/>
  <c r="R52" i="21"/>
  <c r="Q52" i="21"/>
  <c r="P52" i="21"/>
  <c r="O52" i="21"/>
  <c r="N52" i="21"/>
  <c r="M52" i="21"/>
  <c r="L52" i="21"/>
  <c r="K52" i="21"/>
  <c r="J52" i="21"/>
  <c r="I52" i="21"/>
  <c r="H52" i="21"/>
  <c r="G52" i="21"/>
  <c r="F52" i="21"/>
  <c r="E52" i="21"/>
  <c r="D52" i="21"/>
  <c r="C52" i="21"/>
  <c r="B52" i="21"/>
  <c r="AA38" i="21"/>
  <c r="Z38" i="21"/>
  <c r="Y38" i="21"/>
  <c r="X38" i="21"/>
  <c r="W38" i="21"/>
  <c r="V38" i="21"/>
  <c r="U38" i="21"/>
  <c r="T38" i="21"/>
  <c r="S38" i="21"/>
  <c r="R38" i="21"/>
  <c r="Q38" i="21"/>
  <c r="P38" i="21"/>
  <c r="O38" i="21"/>
  <c r="N38" i="21"/>
  <c r="M38" i="21"/>
  <c r="L38" i="21"/>
  <c r="K38" i="21"/>
  <c r="J38" i="21"/>
  <c r="I38" i="21"/>
  <c r="H38" i="21"/>
  <c r="G38" i="21"/>
  <c r="F38" i="21"/>
  <c r="E38" i="21"/>
  <c r="D38" i="21"/>
  <c r="C38" i="21"/>
  <c r="B38" i="21"/>
  <c r="Z23" i="21"/>
  <c r="Y23" i="21"/>
  <c r="X23" i="21"/>
  <c r="W23" i="21"/>
  <c r="V23" i="21"/>
  <c r="U23" i="21"/>
  <c r="T23" i="21"/>
  <c r="S23" i="21"/>
  <c r="R23" i="21"/>
  <c r="Q23" i="21"/>
  <c r="P23" i="21"/>
  <c r="O23" i="21"/>
  <c r="N23" i="21"/>
  <c r="M23" i="21"/>
  <c r="L23" i="21"/>
  <c r="K23" i="21"/>
  <c r="J23" i="21"/>
  <c r="I23" i="21"/>
  <c r="H23" i="21"/>
  <c r="G23" i="21"/>
  <c r="F23" i="21"/>
  <c r="E23" i="21"/>
  <c r="D23" i="21"/>
  <c r="C23" i="21"/>
  <c r="B23" i="21"/>
  <c r="AA5" i="21"/>
  <c r="Z5" i="21"/>
  <c r="Y5" i="21"/>
  <c r="X5" i="21"/>
  <c r="W5" i="21"/>
  <c r="V5" i="21"/>
  <c r="U5" i="21"/>
  <c r="T5" i="21"/>
  <c r="S5" i="21"/>
  <c r="R5" i="21"/>
  <c r="Q5" i="21"/>
  <c r="P5" i="21"/>
  <c r="O5" i="21"/>
  <c r="N5" i="21"/>
  <c r="M5" i="21"/>
  <c r="L5" i="21"/>
  <c r="K5" i="21"/>
  <c r="J5" i="21"/>
  <c r="I5" i="21"/>
  <c r="H5" i="21"/>
  <c r="G5" i="21"/>
  <c r="F5" i="21"/>
  <c r="E5" i="21"/>
  <c r="D5" i="21"/>
  <c r="C5" i="21"/>
  <c r="B5" i="21"/>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Z5" i="20"/>
  <c r="Y5" i="20"/>
  <c r="X5" i="20"/>
  <c r="W5" i="20"/>
  <c r="V5" i="20"/>
  <c r="U5" i="20"/>
  <c r="T5" i="20"/>
  <c r="S5" i="20"/>
  <c r="R5" i="20"/>
  <c r="Q5" i="20"/>
  <c r="P5" i="20"/>
  <c r="O5" i="20"/>
  <c r="N5" i="20"/>
  <c r="M5" i="20"/>
  <c r="L5" i="20"/>
  <c r="K5" i="20"/>
  <c r="J5" i="20"/>
  <c r="I5" i="20"/>
  <c r="H5" i="20"/>
  <c r="G5" i="20"/>
  <c r="F5" i="20"/>
  <c r="E5" i="20"/>
  <c r="D5" i="20"/>
  <c r="C5" i="20"/>
  <c r="B5" i="20"/>
  <c r="AA52" i="19"/>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A5" i="19"/>
  <c r="Z5" i="19"/>
  <c r="Y5" i="19"/>
  <c r="X5" i="19"/>
  <c r="W5" i="19"/>
  <c r="V5" i="19"/>
  <c r="U5" i="19"/>
  <c r="T5" i="19"/>
  <c r="S5" i="19"/>
  <c r="R5" i="19"/>
  <c r="Q5" i="19"/>
  <c r="P5" i="19"/>
  <c r="O5" i="19"/>
  <c r="N5" i="19"/>
  <c r="M5" i="19"/>
  <c r="L5" i="19"/>
  <c r="K5" i="19"/>
  <c r="J5" i="19"/>
  <c r="I5" i="19"/>
  <c r="H5" i="19"/>
  <c r="G5" i="19"/>
  <c r="F5" i="19"/>
  <c r="E5" i="19"/>
  <c r="D5" i="19"/>
  <c r="C5" i="19"/>
  <c r="B5" i="19"/>
  <c r="C52" i="18"/>
  <c r="D52" i="18"/>
  <c r="E52" i="18"/>
  <c r="F52" i="18"/>
  <c r="G52" i="18"/>
  <c r="H52" i="18"/>
  <c r="I52" i="18"/>
  <c r="J52" i="18"/>
  <c r="K52" i="18"/>
  <c r="L52" i="18"/>
  <c r="M52" i="18"/>
  <c r="N52" i="18"/>
  <c r="O52" i="18"/>
  <c r="P52" i="18"/>
  <c r="Q52" i="18"/>
  <c r="R52" i="18"/>
  <c r="S52" i="18"/>
  <c r="T52" i="18"/>
  <c r="U52" i="18"/>
  <c r="V52" i="18"/>
  <c r="W52" i="18"/>
  <c r="X52" i="18"/>
  <c r="Y52" i="18"/>
  <c r="Z52" i="18"/>
  <c r="AA52" i="18"/>
  <c r="B52" i="18"/>
  <c r="C38" i="18"/>
  <c r="D38" i="18"/>
  <c r="E38" i="18"/>
  <c r="F38" i="18"/>
  <c r="G38" i="18"/>
  <c r="H38" i="18"/>
  <c r="I38" i="18"/>
  <c r="J38" i="18"/>
  <c r="K38" i="18"/>
  <c r="L38" i="18"/>
  <c r="M38" i="18"/>
  <c r="N38" i="18"/>
  <c r="O38" i="18"/>
  <c r="P38" i="18"/>
  <c r="Q38" i="18"/>
  <c r="R38" i="18"/>
  <c r="S38" i="18"/>
  <c r="T38" i="18"/>
  <c r="U38" i="18"/>
  <c r="V38" i="18"/>
  <c r="W38" i="18"/>
  <c r="X38" i="18"/>
  <c r="Y38" i="18"/>
  <c r="Z38" i="18"/>
  <c r="AA38" i="18"/>
  <c r="B38" i="18"/>
  <c r="C23" i="18"/>
  <c r="D23" i="18"/>
  <c r="E23" i="18"/>
  <c r="F23" i="18"/>
  <c r="G23" i="18"/>
  <c r="H23" i="18"/>
  <c r="I23" i="18"/>
  <c r="J23" i="18"/>
  <c r="K23" i="18"/>
  <c r="L23" i="18"/>
  <c r="M23" i="18"/>
  <c r="N23" i="18"/>
  <c r="O23" i="18"/>
  <c r="P23" i="18"/>
  <c r="Q23" i="18"/>
  <c r="R23" i="18"/>
  <c r="S23" i="18"/>
  <c r="T23" i="18"/>
  <c r="U23" i="18"/>
  <c r="V23" i="18"/>
  <c r="W23" i="18"/>
  <c r="X23" i="18"/>
  <c r="Y23" i="18"/>
  <c r="Z23" i="18"/>
  <c r="AA23" i="18"/>
  <c r="B23" i="18"/>
  <c r="C5" i="18"/>
  <c r="D5" i="18"/>
  <c r="E5" i="18"/>
  <c r="F5" i="18"/>
  <c r="G5" i="18"/>
  <c r="H5" i="18"/>
  <c r="I5" i="18"/>
  <c r="J5" i="18"/>
  <c r="K5" i="18"/>
  <c r="L5" i="18"/>
  <c r="M5" i="18"/>
  <c r="N5" i="18"/>
  <c r="O5" i="18"/>
  <c r="P5" i="18"/>
  <c r="Q5" i="18"/>
  <c r="R5" i="18"/>
  <c r="S5" i="18"/>
  <c r="T5" i="18"/>
  <c r="U5" i="18"/>
  <c r="V5" i="18"/>
  <c r="W5" i="18"/>
  <c r="X5" i="18"/>
  <c r="Y5" i="18"/>
  <c r="Z5" i="18"/>
  <c r="AA5" i="18"/>
  <c r="B5" i="18"/>
  <c r="U4" i="24" l="1"/>
  <c r="R4" i="21"/>
  <c r="J4" i="21"/>
  <c r="Y4" i="20"/>
  <c r="Z4" i="20"/>
  <c r="S68" i="17"/>
  <c r="T68" i="17"/>
  <c r="Q68" i="17"/>
  <c r="P68" i="17"/>
  <c r="W68" i="17" s="1"/>
  <c r="R4" i="20"/>
  <c r="Z4" i="21"/>
  <c r="J4" i="20"/>
  <c r="B52" i="26"/>
  <c r="R4" i="22"/>
  <c r="Z4" i="22"/>
  <c r="M4" i="25"/>
  <c r="T4" i="21"/>
  <c r="AA38" i="26"/>
  <c r="S38" i="26"/>
  <c r="K38" i="26"/>
  <c r="C38" i="26"/>
  <c r="J23" i="26"/>
  <c r="J4" i="19"/>
  <c r="Z4" i="19"/>
  <c r="B23" i="26"/>
  <c r="R23" i="26"/>
  <c r="R4" i="19"/>
  <c r="N23" i="26"/>
  <c r="Y52" i="26"/>
  <c r="Z4" i="25"/>
  <c r="Q52" i="26"/>
  <c r="R4" i="25"/>
  <c r="I52" i="26"/>
  <c r="J4" i="25"/>
  <c r="U4" i="25"/>
  <c r="P38" i="26"/>
  <c r="H38" i="26"/>
  <c r="Z52" i="26"/>
  <c r="R52" i="26"/>
  <c r="J52" i="26"/>
  <c r="AA4" i="24"/>
  <c r="S4" i="24"/>
  <c r="Y4" i="24"/>
  <c r="Z23" i="26"/>
  <c r="V4" i="24"/>
  <c r="T4" i="24"/>
  <c r="J4" i="24"/>
  <c r="R4" i="24"/>
  <c r="Z4" i="24"/>
  <c r="X4" i="24"/>
  <c r="O4" i="24"/>
  <c r="M4" i="24"/>
  <c r="AA4" i="22"/>
  <c r="S4" i="22"/>
  <c r="V52" i="26"/>
  <c r="V23" i="26"/>
  <c r="F23" i="26"/>
  <c r="S4" i="21"/>
  <c r="F52" i="26"/>
  <c r="AA4" i="21"/>
  <c r="G23" i="26"/>
  <c r="K52" i="26"/>
  <c r="S4" i="20"/>
  <c r="AC9" i="17"/>
  <c r="S52" i="26"/>
  <c r="M38" i="26"/>
  <c r="O23" i="26"/>
  <c r="C52" i="26"/>
  <c r="U38" i="26"/>
  <c r="AA52" i="26"/>
  <c r="E38" i="26"/>
  <c r="J5" i="26"/>
  <c r="V38" i="26"/>
  <c r="N38" i="26"/>
  <c r="F38" i="26"/>
  <c r="P52" i="26"/>
  <c r="H52" i="26"/>
  <c r="D38" i="26"/>
  <c r="L38" i="26"/>
  <c r="T38" i="26"/>
  <c r="H5" i="26"/>
  <c r="P5" i="26"/>
  <c r="X5" i="26"/>
  <c r="E5" i="26"/>
  <c r="Y38" i="26"/>
  <c r="Q38" i="26"/>
  <c r="I38" i="26"/>
  <c r="Y4" i="19"/>
  <c r="G38" i="26"/>
  <c r="U4" i="18"/>
  <c r="T4" i="18"/>
  <c r="X38" i="26"/>
  <c r="O38" i="26"/>
  <c r="E52" i="26"/>
  <c r="M52" i="26"/>
  <c r="U52" i="26"/>
  <c r="N52" i="26"/>
  <c r="X52" i="26"/>
  <c r="M4" i="18"/>
  <c r="F5" i="26"/>
  <c r="C23" i="26"/>
  <c r="K23" i="26"/>
  <c r="S23" i="26"/>
  <c r="AA23" i="26"/>
  <c r="D23" i="26"/>
  <c r="L23" i="26"/>
  <c r="G52" i="26"/>
  <c r="O52" i="26"/>
  <c r="W52" i="26"/>
  <c r="Z11" i="16"/>
  <c r="AB11" i="16"/>
  <c r="W23" i="26"/>
  <c r="W38" i="26"/>
  <c r="AA5" i="26"/>
  <c r="S4" i="18"/>
  <c r="S5" i="26"/>
  <c r="U23" i="26"/>
  <c r="M23" i="26"/>
  <c r="E23" i="26"/>
  <c r="S4" i="19"/>
  <c r="AA4" i="19"/>
  <c r="T4" i="22"/>
  <c r="T4" i="25"/>
  <c r="V5" i="26"/>
  <c r="Q5" i="26"/>
  <c r="U5" i="26"/>
  <c r="T5" i="26"/>
  <c r="W4" i="18"/>
  <c r="W5" i="26"/>
  <c r="O4" i="18"/>
  <c r="O5" i="26"/>
  <c r="G5" i="26"/>
  <c r="Y23" i="26"/>
  <c r="Q23" i="26"/>
  <c r="I23" i="26"/>
  <c r="O4" i="19"/>
  <c r="W4" i="19"/>
  <c r="O4" i="20"/>
  <c r="W4" i="20"/>
  <c r="X4" i="21"/>
  <c r="X4" i="22"/>
  <c r="W4" i="24"/>
  <c r="V4" i="25"/>
  <c r="B38" i="26"/>
  <c r="T23" i="26"/>
  <c r="X23" i="26"/>
  <c r="P23" i="26"/>
  <c r="H23" i="26"/>
  <c r="Z38" i="26"/>
  <c r="R38" i="26"/>
  <c r="J38" i="26"/>
  <c r="T52" i="26"/>
  <c r="L52" i="26"/>
  <c r="D52" i="26"/>
  <c r="M5" i="26"/>
  <c r="AB38" i="26"/>
  <c r="V4" i="18"/>
  <c r="X4" i="19"/>
  <c r="X4" i="20"/>
  <c r="Y4" i="21"/>
  <c r="Y4" i="22"/>
  <c r="S4" i="25"/>
  <c r="AA4" i="25"/>
  <c r="AB52" i="26"/>
  <c r="R4" i="18"/>
  <c r="T4" i="19"/>
  <c r="T4" i="20"/>
  <c r="M4" i="21"/>
  <c r="U4" i="21"/>
  <c r="J4" i="22"/>
  <c r="U4" i="22"/>
  <c r="O4" i="25"/>
  <c r="W4" i="25"/>
  <c r="AB4" i="1"/>
  <c r="AB5" i="13"/>
  <c r="Z4" i="18"/>
  <c r="M4" i="19"/>
  <c r="U4" i="19"/>
  <c r="M4" i="20"/>
  <c r="U4" i="20"/>
  <c r="V4" i="21"/>
  <c r="M4" i="22"/>
  <c r="V4" i="22"/>
  <c r="X4" i="25"/>
  <c r="Z5" i="26"/>
  <c r="R5" i="26"/>
  <c r="AA4" i="20"/>
  <c r="AB5" i="26"/>
  <c r="J4" i="18"/>
  <c r="Y4" i="18"/>
  <c r="X4" i="18"/>
  <c r="V4" i="19"/>
  <c r="V4" i="20"/>
  <c r="O4" i="21"/>
  <c r="W4" i="21"/>
  <c r="O4" i="22"/>
  <c r="W4" i="22"/>
  <c r="Y4" i="25"/>
  <c r="Y5" i="26"/>
  <c r="AB23" i="26"/>
  <c r="AB4" i="25"/>
  <c r="AA12" i="17"/>
  <c r="AE12" i="17" s="1"/>
  <c r="AA13" i="17"/>
  <c r="AE13" i="17" s="1"/>
  <c r="AA14" i="17"/>
  <c r="AE14" i="17" s="1"/>
  <c r="AA15" i="17"/>
  <c r="AE15" i="17" s="1"/>
  <c r="AA16" i="17"/>
  <c r="AE16" i="17" s="1"/>
  <c r="AA17" i="17"/>
  <c r="AE17" i="17" s="1"/>
  <c r="AA18" i="17"/>
  <c r="AE18" i="17" s="1"/>
  <c r="AA19" i="17"/>
  <c r="AE19" i="17" s="1"/>
  <c r="AA20" i="17"/>
  <c r="AE20" i="17" s="1"/>
  <c r="AA21" i="17"/>
  <c r="AE21" i="17" s="1"/>
  <c r="AA22" i="17"/>
  <c r="AE22" i="17" s="1"/>
  <c r="AA23" i="17"/>
  <c r="AE23" i="17" s="1"/>
  <c r="AA24" i="17"/>
  <c r="AE24" i="17" s="1"/>
  <c r="AA25" i="17"/>
  <c r="AE25" i="17" s="1"/>
  <c r="AA26" i="17"/>
  <c r="AE26" i="17" s="1"/>
  <c r="AA27" i="17"/>
  <c r="AE27" i="17" s="1"/>
  <c r="AA31" i="17"/>
  <c r="AE31" i="17" s="1"/>
  <c r="AA32" i="17"/>
  <c r="AE32" i="17" s="1"/>
  <c r="AA33" i="17"/>
  <c r="AE33" i="17" s="1"/>
  <c r="AA34" i="17"/>
  <c r="AE34" i="17" s="1"/>
  <c r="AA35" i="17"/>
  <c r="AE35" i="17" s="1"/>
  <c r="AA36" i="17"/>
  <c r="AE36" i="17" s="1"/>
  <c r="AA37" i="17"/>
  <c r="AE37" i="17" s="1"/>
  <c r="AA38" i="17"/>
  <c r="AE38" i="17" s="1"/>
  <c r="AA39" i="17"/>
  <c r="AE39" i="17" s="1"/>
  <c r="AA40" i="17"/>
  <c r="AE40" i="17" s="1"/>
  <c r="AA41" i="17"/>
  <c r="AE41" i="17" s="1"/>
  <c r="AA42" i="17"/>
  <c r="AE42" i="17" s="1"/>
  <c r="AA45" i="17"/>
  <c r="AE45" i="17" s="1"/>
  <c r="AA46" i="17"/>
  <c r="AE46" i="17" s="1"/>
  <c r="AA47" i="17"/>
  <c r="AE47" i="17" s="1"/>
  <c r="AA48" i="17"/>
  <c r="AE48" i="17" s="1"/>
  <c r="AA49" i="17"/>
  <c r="AE49" i="17" s="1"/>
  <c r="AA50" i="17"/>
  <c r="AE50" i="17" s="1"/>
  <c r="AA51" i="17"/>
  <c r="AE51" i="17" s="1"/>
  <c r="AA52" i="17"/>
  <c r="AE52" i="17" s="1"/>
  <c r="AA53" i="17"/>
  <c r="AE53" i="17" s="1"/>
  <c r="AA54" i="17"/>
  <c r="AE54" i="17" s="1"/>
  <c r="AA55" i="17"/>
  <c r="AE55" i="17" s="1"/>
  <c r="AA56" i="17"/>
  <c r="AE56" i="17" s="1"/>
  <c r="X12" i="17"/>
  <c r="X13" i="17"/>
  <c r="X14" i="17"/>
  <c r="X15" i="17"/>
  <c r="X16" i="17"/>
  <c r="X17" i="17"/>
  <c r="X18" i="17"/>
  <c r="X19" i="17"/>
  <c r="X20" i="17"/>
  <c r="X21" i="17"/>
  <c r="X22" i="17"/>
  <c r="X23" i="17"/>
  <c r="X24" i="17"/>
  <c r="X25" i="17"/>
  <c r="X26" i="17"/>
  <c r="X27" i="17"/>
  <c r="X31" i="17"/>
  <c r="X32" i="17"/>
  <c r="X33" i="17"/>
  <c r="X34" i="17"/>
  <c r="X35" i="17"/>
  <c r="X36" i="17"/>
  <c r="X37" i="17"/>
  <c r="X38" i="17"/>
  <c r="X39" i="17"/>
  <c r="X40" i="17"/>
  <c r="X41" i="17"/>
  <c r="X42" i="17"/>
  <c r="X45" i="17"/>
  <c r="X46" i="17"/>
  <c r="X47" i="17"/>
  <c r="X48" i="17"/>
  <c r="X49" i="17"/>
  <c r="X50" i="17"/>
  <c r="X51" i="17"/>
  <c r="X52" i="17"/>
  <c r="X53" i="17"/>
  <c r="X54" i="17"/>
  <c r="X55" i="17"/>
  <c r="X56" i="17"/>
  <c r="AA68" i="17"/>
  <c r="AE68" i="17" s="1"/>
  <c r="X68" i="17"/>
  <c r="AA67" i="17"/>
  <c r="AE67" i="17" s="1"/>
  <c r="X67" i="17"/>
  <c r="AA66" i="17"/>
  <c r="AE66" i="17" s="1"/>
  <c r="X66" i="17"/>
  <c r="AA65" i="17"/>
  <c r="AE65" i="17" s="1"/>
  <c r="X65" i="17"/>
  <c r="AA64" i="17"/>
  <c r="AE64" i="17" s="1"/>
  <c r="X64" i="17"/>
  <c r="AA63" i="17"/>
  <c r="AE63" i="17" s="1"/>
  <c r="X63" i="17"/>
  <c r="AA62" i="17"/>
  <c r="AE62" i="17" s="1"/>
  <c r="X62" i="17"/>
  <c r="AA61" i="17"/>
  <c r="AE61" i="17" s="1"/>
  <c r="X61" i="17"/>
  <c r="AA60" i="17"/>
  <c r="AE60" i="17" s="1"/>
  <c r="X60" i="17"/>
  <c r="AA59" i="17"/>
  <c r="AE59" i="17" s="1"/>
  <c r="X59" i="17"/>
  <c r="AA4" i="18"/>
  <c r="R4" i="26" l="1"/>
  <c r="Z10" i="16"/>
  <c r="J4" i="26"/>
  <c r="Z4" i="26"/>
  <c r="Z17" i="17"/>
  <c r="AB25" i="17"/>
  <c r="AB54" i="17"/>
  <c r="AB24" i="17"/>
  <c r="AB68" i="17"/>
  <c r="Z54" i="17"/>
  <c r="AB50" i="17"/>
  <c r="AB48" i="17"/>
  <c r="Z20" i="17"/>
  <c r="Z46" i="17"/>
  <c r="AB23" i="17"/>
  <c r="Z32" i="17"/>
  <c r="Z27" i="17"/>
  <c r="AB61" i="17"/>
  <c r="W45" i="17"/>
  <c r="AB16" i="17"/>
  <c r="Z35" i="17"/>
  <c r="AB65" i="17"/>
  <c r="Z26" i="17"/>
  <c r="U4" i="26"/>
  <c r="AB36" i="17"/>
  <c r="AB40" i="17"/>
  <c r="Z53" i="17"/>
  <c r="W66" i="17"/>
  <c r="Z22" i="17"/>
  <c r="W60" i="17"/>
  <c r="AB33" i="17"/>
  <c r="W34" i="17"/>
  <c r="W15" i="17"/>
  <c r="Z18" i="17"/>
  <c r="AB39" i="17"/>
  <c r="W37" i="17"/>
  <c r="W33" i="17"/>
  <c r="Z12" i="17"/>
  <c r="AB46" i="17"/>
  <c r="Z23" i="17"/>
  <c r="W16" i="17"/>
  <c r="W55" i="17"/>
  <c r="AB51" i="17"/>
  <c r="AB60" i="17"/>
  <c r="Z48" i="17"/>
  <c r="AB34" i="17"/>
  <c r="Z36" i="17"/>
  <c r="AD36" i="17" s="1"/>
  <c r="AB42" i="17"/>
  <c r="W53" i="17"/>
  <c r="W38" i="17"/>
  <c r="Z45" i="17"/>
  <c r="M4" i="26"/>
  <c r="AB20" i="17"/>
  <c r="AB21" i="17"/>
  <c r="AB12" i="17"/>
  <c r="Z34" i="17"/>
  <c r="T4" i="26"/>
  <c r="W39" i="17"/>
  <c r="AB55" i="17"/>
  <c r="AB63" i="17"/>
  <c r="AB27" i="17"/>
  <c r="AB53" i="17"/>
  <c r="AB15" i="17"/>
  <c r="AB26" i="17"/>
  <c r="Z15" i="17"/>
  <c r="AB22" i="17"/>
  <c r="AB45" i="17"/>
  <c r="AB19" i="17"/>
  <c r="AB52" i="17"/>
  <c r="AA4" i="26"/>
  <c r="Z52" i="17"/>
  <c r="Z39" i="17"/>
  <c r="W54" i="17"/>
  <c r="AB14" i="17"/>
  <c r="AB37" i="17"/>
  <c r="AB67" i="17"/>
  <c r="AB56" i="17"/>
  <c r="AB35" i="17"/>
  <c r="W52" i="17"/>
  <c r="AB66" i="17"/>
  <c r="AB47" i="17"/>
  <c r="AB17" i="17"/>
  <c r="Z37" i="17"/>
  <c r="W14" i="17"/>
  <c r="AB59" i="17"/>
  <c r="AB32" i="17"/>
  <c r="AB41" i="17"/>
  <c r="AB49" i="17"/>
  <c r="AB64" i="17"/>
  <c r="AB13" i="17"/>
  <c r="AB31" i="17"/>
  <c r="AB18" i="17"/>
  <c r="Z14" i="17"/>
  <c r="AB62" i="17"/>
  <c r="AB38" i="17"/>
  <c r="AD11" i="16"/>
  <c r="AB10" i="16"/>
  <c r="W56" i="17"/>
  <c r="W13" i="17"/>
  <c r="Z62" i="17"/>
  <c r="W19" i="17"/>
  <c r="Z56" i="17"/>
  <c r="Z31" i="17"/>
  <c r="Z68" i="17"/>
  <c r="W22" i="17"/>
  <c r="W48" i="17"/>
  <c r="W24" i="17"/>
  <c r="W27" i="17"/>
  <c r="Z64" i="17"/>
  <c r="W23" i="17"/>
  <c r="Z55" i="17"/>
  <c r="Z47" i="17"/>
  <c r="Z38" i="17"/>
  <c r="Z21" i="17"/>
  <c r="Z13" i="17"/>
  <c r="W59" i="17"/>
  <c r="W35" i="17"/>
  <c r="Y4" i="26"/>
  <c r="W21" i="17"/>
  <c r="Z61" i="17"/>
  <c r="AB4" i="13"/>
  <c r="W18" i="17"/>
  <c r="W47" i="17"/>
  <c r="O4" i="26"/>
  <c r="Z67" i="17"/>
  <c r="Z60" i="17"/>
  <c r="Z63" i="17"/>
  <c r="W65" i="17"/>
  <c r="Z59" i="17"/>
  <c r="W64" i="17"/>
  <c r="W32" i="17"/>
  <c r="W20" i="17"/>
  <c r="Z51" i="17"/>
  <c r="Z25" i="17"/>
  <c r="W17" i="17"/>
  <c r="W51" i="17"/>
  <c r="Z65" i="17"/>
  <c r="Z50" i="17"/>
  <c r="Z41" i="17"/>
  <c r="Z33" i="17"/>
  <c r="Z24" i="17"/>
  <c r="Z16" i="17"/>
  <c r="W62" i="17"/>
  <c r="AB4" i="26"/>
  <c r="W12" i="17"/>
  <c r="W46" i="17"/>
  <c r="W42" i="17"/>
  <c r="V4" i="26"/>
  <c r="W31" i="17"/>
  <c r="W40" i="17"/>
  <c r="S4" i="26"/>
  <c r="W41" i="17"/>
  <c r="Z19" i="17"/>
  <c r="W67" i="17"/>
  <c r="Z66" i="17"/>
  <c r="W4" i="26"/>
  <c r="W49" i="17"/>
  <c r="Z42" i="17"/>
  <c r="W63" i="17"/>
  <c r="W50" i="17"/>
  <c r="W25" i="17"/>
  <c r="Z49" i="17"/>
  <c r="Z40" i="17"/>
  <c r="W61" i="17"/>
  <c r="W36" i="17"/>
  <c r="X4" i="26"/>
  <c r="W26" i="17"/>
  <c r="AD24" i="17" l="1"/>
  <c r="AD10" i="16"/>
  <c r="AD27" i="17"/>
  <c r="AD17" i="17"/>
  <c r="AD25" i="17"/>
  <c r="AD50" i="17"/>
  <c r="AD61" i="17"/>
  <c r="AD45" i="17"/>
  <c r="AD22" i="17"/>
  <c r="AD23" i="17"/>
  <c r="W10" i="17"/>
  <c r="AD54" i="17"/>
  <c r="AD20" i="17"/>
  <c r="AD55" i="17"/>
  <c r="AD48" i="17"/>
  <c r="AD46" i="17"/>
  <c r="AD16" i="17"/>
  <c r="AD68" i="17"/>
  <c r="AD53" i="17"/>
  <c r="AD32" i="17"/>
  <c r="AD35" i="17"/>
  <c r="AD33" i="17"/>
  <c r="AD18" i="17"/>
  <c r="AB10" i="17"/>
  <c r="AB28" i="17"/>
  <c r="AD34" i="17"/>
  <c r="AD65" i="17"/>
  <c r="AD63" i="17"/>
  <c r="AD12" i="17"/>
  <c r="AD40" i="17"/>
  <c r="AD26" i="17"/>
  <c r="AD51" i="17"/>
  <c r="AD39" i="17"/>
  <c r="W43" i="17"/>
  <c r="AD13" i="17"/>
  <c r="Z28" i="17"/>
  <c r="Z57" i="17"/>
  <c r="AD21" i="17"/>
  <c r="AD38" i="17"/>
  <c r="AD31" i="17"/>
  <c r="AD56" i="17"/>
  <c r="AD60" i="17"/>
  <c r="W28" i="17"/>
  <c r="AD52" i="17"/>
  <c r="AD42" i="17"/>
  <c r="AD62" i="17"/>
  <c r="AD64" i="17"/>
  <c r="AB57" i="17"/>
  <c r="Z43" i="17"/>
  <c r="AD49" i="17"/>
  <c r="AB43" i="17"/>
  <c r="AD41" i="17"/>
  <c r="AD15" i="17"/>
  <c r="AD66" i="17"/>
  <c r="AD37" i="17"/>
  <c r="AD19" i="17"/>
  <c r="AD47" i="17"/>
  <c r="AD67" i="17"/>
  <c r="AD59" i="17"/>
  <c r="AD14" i="17"/>
  <c r="W57" i="17"/>
  <c r="AA57" i="17"/>
  <c r="AE57" i="17" s="1"/>
  <c r="AA10" i="17"/>
  <c r="AE10" i="17" s="1"/>
  <c r="X28" i="17"/>
  <c r="Z10" i="17"/>
  <c r="AA43" i="17"/>
  <c r="AE43" i="17" s="1"/>
  <c r="X10" i="17"/>
  <c r="X57" i="17"/>
  <c r="AA28" i="17"/>
  <c r="AE28" i="17" s="1"/>
  <c r="X43" i="17"/>
  <c r="E4" i="13"/>
  <c r="F4" i="13"/>
  <c r="G4" i="13"/>
  <c r="H4" i="13"/>
  <c r="P4" i="13"/>
  <c r="Q4" i="13"/>
  <c r="E5" i="13"/>
  <c r="F5" i="13"/>
  <c r="G5" i="13"/>
  <c r="H5" i="13"/>
  <c r="P5" i="13"/>
  <c r="Q5" i="13"/>
  <c r="C6" i="13"/>
  <c r="D6" i="13"/>
  <c r="E6" i="13"/>
  <c r="F6" i="13"/>
  <c r="G6" i="13"/>
  <c r="H6" i="13"/>
  <c r="I6" i="13"/>
  <c r="J6" i="13"/>
  <c r="K6" i="13"/>
  <c r="L6" i="13"/>
  <c r="M6" i="13"/>
  <c r="N6" i="13"/>
  <c r="O6" i="13"/>
  <c r="P6" i="13"/>
  <c r="Q6" i="13"/>
  <c r="R6" i="13"/>
  <c r="S6" i="13"/>
  <c r="T6" i="13"/>
  <c r="U6" i="13"/>
  <c r="V6" i="13"/>
  <c r="W6" i="13"/>
  <c r="X6" i="13"/>
  <c r="Y6" i="13"/>
  <c r="Z6" i="13"/>
  <c r="AA6" i="13"/>
  <c r="E7" i="13"/>
  <c r="F7" i="13"/>
  <c r="G7" i="13"/>
  <c r="H7" i="13"/>
  <c r="J7" i="13"/>
  <c r="M7" i="13"/>
  <c r="O7" i="13"/>
  <c r="P7" i="13"/>
  <c r="Q7" i="13"/>
  <c r="R7" i="13"/>
  <c r="S7" i="13"/>
  <c r="T7" i="13"/>
  <c r="U7" i="13"/>
  <c r="V7" i="13"/>
  <c r="W7" i="13"/>
  <c r="X7" i="13"/>
  <c r="Y7" i="13"/>
  <c r="Z7" i="13"/>
  <c r="E8" i="13"/>
  <c r="F8" i="13"/>
  <c r="G8" i="13"/>
  <c r="H8" i="13"/>
  <c r="J8" i="13"/>
  <c r="M8" i="13"/>
  <c r="O8" i="13"/>
  <c r="P8" i="13"/>
  <c r="Q8" i="13"/>
  <c r="R8" i="13"/>
  <c r="S8" i="13"/>
  <c r="T8" i="13"/>
  <c r="U8" i="13"/>
  <c r="V8" i="13"/>
  <c r="W8" i="13"/>
  <c r="X8" i="13"/>
  <c r="Y8" i="13"/>
  <c r="Z8" i="13"/>
  <c r="C9" i="13"/>
  <c r="E9" i="13"/>
  <c r="F9" i="13"/>
  <c r="G9" i="13"/>
  <c r="H9" i="13"/>
  <c r="I9" i="13"/>
  <c r="J9" i="13"/>
  <c r="K9" i="13"/>
  <c r="L9" i="13"/>
  <c r="M9" i="13"/>
  <c r="O9" i="13"/>
  <c r="P9" i="13"/>
  <c r="Q9" i="13"/>
  <c r="R9" i="13"/>
  <c r="T9" i="13"/>
  <c r="U9" i="13"/>
  <c r="V9" i="13"/>
  <c r="X9" i="13"/>
  <c r="Y9" i="13"/>
  <c r="Z9" i="13"/>
  <c r="E10" i="13"/>
  <c r="F10" i="13"/>
  <c r="G10" i="13"/>
  <c r="H10" i="13"/>
  <c r="J10" i="13"/>
  <c r="M10" i="13"/>
  <c r="O10" i="13"/>
  <c r="P10" i="13"/>
  <c r="Q10" i="13"/>
  <c r="R10" i="13"/>
  <c r="S10" i="13"/>
  <c r="T10" i="13"/>
  <c r="U10" i="13"/>
  <c r="V10" i="13"/>
  <c r="W10" i="13"/>
  <c r="X10" i="13"/>
  <c r="Y10" i="13"/>
  <c r="Z10" i="13"/>
  <c r="E11" i="13"/>
  <c r="F11" i="13"/>
  <c r="G11" i="13"/>
  <c r="H11" i="13"/>
  <c r="J11" i="13"/>
  <c r="M11" i="13"/>
  <c r="O11" i="13"/>
  <c r="P11" i="13"/>
  <c r="Q11" i="13"/>
  <c r="R11" i="13"/>
  <c r="S11" i="13"/>
  <c r="T11" i="13"/>
  <c r="U11" i="13"/>
  <c r="V11" i="13"/>
  <c r="W11" i="13"/>
  <c r="X11" i="13"/>
  <c r="Y11" i="13"/>
  <c r="Z11" i="13"/>
  <c r="E12" i="13"/>
  <c r="F12" i="13"/>
  <c r="G12" i="13"/>
  <c r="H12" i="13"/>
  <c r="J12" i="13"/>
  <c r="M12" i="13"/>
  <c r="O12" i="13"/>
  <c r="P12" i="13"/>
  <c r="Q12" i="13"/>
  <c r="R12" i="13"/>
  <c r="S12" i="13"/>
  <c r="T12" i="13"/>
  <c r="U12" i="13"/>
  <c r="V12" i="13"/>
  <c r="W12" i="13"/>
  <c r="X12" i="13"/>
  <c r="Y12" i="13"/>
  <c r="Z12" i="13"/>
  <c r="E13" i="13"/>
  <c r="F13" i="13"/>
  <c r="G13" i="13"/>
  <c r="H13" i="13"/>
  <c r="J13" i="13"/>
  <c r="M13" i="13"/>
  <c r="O13" i="13"/>
  <c r="P13" i="13"/>
  <c r="Q13" i="13"/>
  <c r="R13" i="13"/>
  <c r="S13" i="13"/>
  <c r="T13" i="13"/>
  <c r="U13" i="13"/>
  <c r="V13" i="13"/>
  <c r="W13" i="13"/>
  <c r="X13" i="13"/>
  <c r="Y13" i="13"/>
  <c r="Z13" i="13"/>
  <c r="E14" i="13"/>
  <c r="F14" i="13"/>
  <c r="G14" i="13"/>
  <c r="H14" i="13"/>
  <c r="J14" i="13"/>
  <c r="M14" i="13"/>
  <c r="O14" i="13"/>
  <c r="P14" i="13"/>
  <c r="Q14" i="13"/>
  <c r="R14" i="13"/>
  <c r="S14" i="13"/>
  <c r="T14" i="13"/>
  <c r="U14" i="13"/>
  <c r="V14" i="13"/>
  <c r="W14" i="13"/>
  <c r="X14" i="13"/>
  <c r="Y14" i="13"/>
  <c r="Z14" i="13"/>
  <c r="E15" i="13"/>
  <c r="F15" i="13"/>
  <c r="G15" i="13"/>
  <c r="H15" i="13"/>
  <c r="J15" i="13"/>
  <c r="M15" i="13"/>
  <c r="O15" i="13"/>
  <c r="P15" i="13"/>
  <c r="Q15" i="13"/>
  <c r="R15" i="13"/>
  <c r="S15" i="13"/>
  <c r="T15" i="13"/>
  <c r="U15" i="13"/>
  <c r="V15" i="13"/>
  <c r="W15" i="13"/>
  <c r="X15" i="13"/>
  <c r="Y15" i="13"/>
  <c r="Z15" i="13"/>
  <c r="E16" i="13"/>
  <c r="F16" i="13"/>
  <c r="G16" i="13"/>
  <c r="H16" i="13"/>
  <c r="J16" i="13"/>
  <c r="M16" i="13"/>
  <c r="O16" i="13"/>
  <c r="P16" i="13"/>
  <c r="Q16" i="13"/>
  <c r="R16" i="13"/>
  <c r="S16" i="13"/>
  <c r="T16" i="13"/>
  <c r="U16" i="13"/>
  <c r="V16" i="13"/>
  <c r="W16" i="13"/>
  <c r="X16" i="13"/>
  <c r="Y16" i="13"/>
  <c r="Z16" i="13"/>
  <c r="E17" i="13"/>
  <c r="F17" i="13"/>
  <c r="G17" i="13"/>
  <c r="H17" i="13"/>
  <c r="J17" i="13"/>
  <c r="M17" i="13"/>
  <c r="O17" i="13"/>
  <c r="P17" i="13"/>
  <c r="Q17" i="13"/>
  <c r="R17" i="13"/>
  <c r="S17" i="13"/>
  <c r="T17" i="13"/>
  <c r="U17" i="13"/>
  <c r="V17" i="13"/>
  <c r="W17" i="13"/>
  <c r="X17" i="13"/>
  <c r="Y17" i="13"/>
  <c r="Z17" i="13"/>
  <c r="E18" i="13"/>
  <c r="F18" i="13"/>
  <c r="G18" i="13"/>
  <c r="H18" i="13"/>
  <c r="J18" i="13"/>
  <c r="M18" i="13"/>
  <c r="O18" i="13"/>
  <c r="P18" i="13"/>
  <c r="Q18" i="13"/>
  <c r="R18" i="13"/>
  <c r="S18" i="13"/>
  <c r="T18" i="13"/>
  <c r="U18" i="13"/>
  <c r="V18" i="13"/>
  <c r="W18" i="13"/>
  <c r="X18" i="13"/>
  <c r="Y18" i="13"/>
  <c r="Z18" i="13"/>
  <c r="E19" i="13"/>
  <c r="F19" i="13"/>
  <c r="G19" i="13"/>
  <c r="H19" i="13"/>
  <c r="J19" i="13"/>
  <c r="M19" i="13"/>
  <c r="O19" i="13"/>
  <c r="P19" i="13"/>
  <c r="Q19" i="13"/>
  <c r="R19" i="13"/>
  <c r="S19" i="13"/>
  <c r="T19" i="13"/>
  <c r="U19" i="13"/>
  <c r="V19" i="13"/>
  <c r="W19" i="13"/>
  <c r="X19" i="13"/>
  <c r="Y19" i="13"/>
  <c r="Z19" i="13"/>
  <c r="E20" i="13"/>
  <c r="F20" i="13"/>
  <c r="G20" i="13"/>
  <c r="H20" i="13"/>
  <c r="J20" i="13"/>
  <c r="M20" i="13"/>
  <c r="O20" i="13"/>
  <c r="P20" i="13"/>
  <c r="Q20" i="13"/>
  <c r="R20" i="13"/>
  <c r="S20" i="13"/>
  <c r="T20" i="13"/>
  <c r="U20" i="13"/>
  <c r="V20" i="13"/>
  <c r="W20" i="13"/>
  <c r="X20" i="13"/>
  <c r="Y20" i="13"/>
  <c r="Z20" i="13"/>
  <c r="E21" i="13"/>
  <c r="F21" i="13"/>
  <c r="G21" i="13"/>
  <c r="H21" i="13"/>
  <c r="J21" i="13"/>
  <c r="M21" i="13"/>
  <c r="O21" i="13"/>
  <c r="P21" i="13"/>
  <c r="Q21" i="13"/>
  <c r="R21" i="13"/>
  <c r="S21" i="13"/>
  <c r="T21" i="13"/>
  <c r="U21" i="13"/>
  <c r="V21" i="13"/>
  <c r="W21" i="13"/>
  <c r="X21" i="13"/>
  <c r="Y21" i="13"/>
  <c r="Z21" i="13"/>
  <c r="E22" i="13"/>
  <c r="F22" i="13"/>
  <c r="G22" i="13"/>
  <c r="H22" i="13"/>
  <c r="J22" i="13"/>
  <c r="M22" i="13"/>
  <c r="O22" i="13"/>
  <c r="P22" i="13"/>
  <c r="Q22" i="13"/>
  <c r="R22" i="13"/>
  <c r="S22" i="13"/>
  <c r="T22" i="13"/>
  <c r="U22" i="13"/>
  <c r="V22" i="13"/>
  <c r="W22" i="13"/>
  <c r="X22" i="13"/>
  <c r="Y22" i="13"/>
  <c r="Z22" i="13"/>
  <c r="C23" i="13"/>
  <c r="D23" i="13"/>
  <c r="E23" i="13"/>
  <c r="F23" i="13"/>
  <c r="G23" i="13"/>
  <c r="H23" i="13"/>
  <c r="I23" i="13"/>
  <c r="K23" i="13"/>
  <c r="L23" i="13"/>
  <c r="N23" i="13"/>
  <c r="P23" i="13"/>
  <c r="Q23" i="13"/>
  <c r="C24" i="13"/>
  <c r="D24" i="13"/>
  <c r="E24" i="13"/>
  <c r="F24" i="13"/>
  <c r="G24" i="13"/>
  <c r="H24" i="13"/>
  <c r="I24" i="13"/>
  <c r="J24" i="13"/>
  <c r="K24" i="13"/>
  <c r="L24" i="13"/>
  <c r="M24" i="13"/>
  <c r="N24" i="13"/>
  <c r="O24" i="13"/>
  <c r="P24" i="13"/>
  <c r="Q24" i="13"/>
  <c r="R24" i="13"/>
  <c r="S24" i="13"/>
  <c r="T24" i="13"/>
  <c r="U24" i="13"/>
  <c r="V24" i="13"/>
  <c r="W24" i="13"/>
  <c r="X24" i="13"/>
  <c r="Y24" i="13"/>
  <c r="Z24" i="13"/>
  <c r="C25" i="13"/>
  <c r="D25" i="13"/>
  <c r="E25" i="13"/>
  <c r="F25" i="13"/>
  <c r="G25" i="13"/>
  <c r="H25" i="13"/>
  <c r="I25" i="13"/>
  <c r="J25" i="13"/>
  <c r="K25" i="13"/>
  <c r="L25" i="13"/>
  <c r="M25" i="13"/>
  <c r="N25" i="13"/>
  <c r="O25" i="13"/>
  <c r="P25" i="13"/>
  <c r="Q25" i="13"/>
  <c r="R25" i="13"/>
  <c r="S25" i="13"/>
  <c r="T25" i="13"/>
  <c r="U25" i="13"/>
  <c r="V25" i="13"/>
  <c r="W25" i="13"/>
  <c r="X25" i="13"/>
  <c r="Y25" i="13"/>
  <c r="Z25" i="13"/>
  <c r="C26" i="13"/>
  <c r="D26" i="13"/>
  <c r="E26" i="13"/>
  <c r="F26" i="13"/>
  <c r="G26" i="13"/>
  <c r="H26" i="13"/>
  <c r="I26" i="13"/>
  <c r="J26" i="13"/>
  <c r="K26" i="13"/>
  <c r="L26" i="13"/>
  <c r="M26" i="13"/>
  <c r="N26" i="13"/>
  <c r="O26" i="13"/>
  <c r="P26" i="13"/>
  <c r="Q26" i="13"/>
  <c r="R26" i="13"/>
  <c r="S26" i="13"/>
  <c r="T26" i="13"/>
  <c r="U26" i="13"/>
  <c r="V26" i="13"/>
  <c r="W26" i="13"/>
  <c r="X26" i="13"/>
  <c r="Y26" i="13"/>
  <c r="Z26" i="13"/>
  <c r="C27" i="13"/>
  <c r="D27" i="13"/>
  <c r="E27" i="13"/>
  <c r="F27" i="13"/>
  <c r="G27" i="13"/>
  <c r="H27" i="13"/>
  <c r="I27" i="13"/>
  <c r="J27" i="13"/>
  <c r="K27" i="13"/>
  <c r="L27" i="13"/>
  <c r="M27" i="13"/>
  <c r="N27" i="13"/>
  <c r="O27" i="13"/>
  <c r="P27" i="13"/>
  <c r="Q27" i="13"/>
  <c r="R27" i="13"/>
  <c r="S27" i="13"/>
  <c r="T27" i="13"/>
  <c r="U27" i="13"/>
  <c r="V27" i="13"/>
  <c r="W27" i="13"/>
  <c r="X27" i="13"/>
  <c r="Y27" i="13"/>
  <c r="Z27" i="13"/>
  <c r="C28" i="13"/>
  <c r="D28" i="13"/>
  <c r="E28" i="13"/>
  <c r="F28" i="13"/>
  <c r="G28" i="13"/>
  <c r="H28" i="13"/>
  <c r="I28" i="13"/>
  <c r="J28" i="13"/>
  <c r="K28" i="13"/>
  <c r="L28" i="13"/>
  <c r="M28" i="13"/>
  <c r="N28" i="13"/>
  <c r="O28" i="13"/>
  <c r="P28" i="13"/>
  <c r="Q28" i="13"/>
  <c r="R28" i="13"/>
  <c r="S28" i="13"/>
  <c r="T28" i="13"/>
  <c r="U28" i="13"/>
  <c r="V28" i="13"/>
  <c r="W28" i="13"/>
  <c r="X28" i="13"/>
  <c r="Y28" i="13"/>
  <c r="Z28" i="13"/>
  <c r="C29" i="13"/>
  <c r="D29" i="13"/>
  <c r="E29" i="13"/>
  <c r="F29" i="13"/>
  <c r="G29" i="13"/>
  <c r="H29" i="13"/>
  <c r="I29" i="13"/>
  <c r="J29" i="13"/>
  <c r="K29" i="13"/>
  <c r="L29" i="13"/>
  <c r="M29" i="13"/>
  <c r="N29" i="13"/>
  <c r="O29" i="13"/>
  <c r="P29" i="13"/>
  <c r="Q29" i="13"/>
  <c r="R29" i="13"/>
  <c r="S29" i="13"/>
  <c r="T29" i="13"/>
  <c r="U29" i="13"/>
  <c r="V29" i="13"/>
  <c r="W29" i="13"/>
  <c r="X29" i="13"/>
  <c r="Y29" i="13"/>
  <c r="Z29" i="13"/>
  <c r="C30" i="13"/>
  <c r="D30" i="13"/>
  <c r="E30" i="13"/>
  <c r="F30" i="13"/>
  <c r="G30" i="13"/>
  <c r="H30" i="13"/>
  <c r="I30" i="13"/>
  <c r="J30" i="13"/>
  <c r="K30" i="13"/>
  <c r="L30" i="13"/>
  <c r="M30" i="13"/>
  <c r="N30" i="13"/>
  <c r="O30" i="13"/>
  <c r="P30" i="13"/>
  <c r="Q30" i="13"/>
  <c r="R30" i="13"/>
  <c r="S30" i="13"/>
  <c r="T30" i="13"/>
  <c r="U30" i="13"/>
  <c r="V30" i="13"/>
  <c r="W30" i="13"/>
  <c r="X30" i="13"/>
  <c r="Y30" i="13"/>
  <c r="Z30" i="13"/>
  <c r="C31" i="13"/>
  <c r="D31" i="13"/>
  <c r="E31" i="13"/>
  <c r="F31" i="13"/>
  <c r="G31" i="13"/>
  <c r="H31" i="13"/>
  <c r="I31" i="13"/>
  <c r="J31" i="13"/>
  <c r="K31" i="13"/>
  <c r="L31" i="13"/>
  <c r="M31" i="13"/>
  <c r="N31" i="13"/>
  <c r="O31" i="13"/>
  <c r="P31" i="13"/>
  <c r="Q31" i="13"/>
  <c r="R31" i="13"/>
  <c r="S31" i="13"/>
  <c r="T31" i="13"/>
  <c r="U31" i="13"/>
  <c r="V31" i="13"/>
  <c r="W31" i="13"/>
  <c r="X31" i="13"/>
  <c r="Y31" i="13"/>
  <c r="Z31" i="13"/>
  <c r="C32" i="13"/>
  <c r="D32" i="13"/>
  <c r="E32" i="13"/>
  <c r="F32" i="13"/>
  <c r="G32" i="13"/>
  <c r="H32" i="13"/>
  <c r="I32" i="13"/>
  <c r="J32" i="13"/>
  <c r="K32" i="13"/>
  <c r="L32" i="13"/>
  <c r="M32" i="13"/>
  <c r="N32" i="13"/>
  <c r="O32" i="13"/>
  <c r="P32" i="13"/>
  <c r="Q32" i="13"/>
  <c r="R32" i="13"/>
  <c r="S32" i="13"/>
  <c r="T32" i="13"/>
  <c r="U32" i="13"/>
  <c r="V32" i="13"/>
  <c r="W32" i="13"/>
  <c r="X32" i="13"/>
  <c r="Y32" i="13"/>
  <c r="Z32" i="13"/>
  <c r="C33" i="13"/>
  <c r="D33" i="13"/>
  <c r="E33" i="13"/>
  <c r="F33" i="13"/>
  <c r="G33" i="13"/>
  <c r="H33" i="13"/>
  <c r="I33" i="13"/>
  <c r="J33" i="13"/>
  <c r="K33" i="13"/>
  <c r="L33" i="13"/>
  <c r="M33" i="13"/>
  <c r="N33" i="13"/>
  <c r="O33" i="13"/>
  <c r="P33" i="13"/>
  <c r="Q33" i="13"/>
  <c r="R33" i="13"/>
  <c r="S33" i="13"/>
  <c r="T33" i="13"/>
  <c r="U33" i="13"/>
  <c r="V33" i="13"/>
  <c r="W33" i="13"/>
  <c r="X33" i="13"/>
  <c r="Y33" i="13"/>
  <c r="Z33" i="13"/>
  <c r="C34" i="13"/>
  <c r="D34" i="13"/>
  <c r="E34" i="13"/>
  <c r="F34" i="13"/>
  <c r="G34" i="13"/>
  <c r="H34" i="13"/>
  <c r="I34" i="13"/>
  <c r="J34" i="13"/>
  <c r="K34" i="13"/>
  <c r="L34" i="13"/>
  <c r="M34" i="13"/>
  <c r="N34" i="13"/>
  <c r="O34" i="13"/>
  <c r="P34" i="13"/>
  <c r="Q34" i="13"/>
  <c r="R34" i="13"/>
  <c r="S34" i="13"/>
  <c r="T34" i="13"/>
  <c r="U34" i="13"/>
  <c r="V34" i="13"/>
  <c r="W34" i="13"/>
  <c r="X34" i="13"/>
  <c r="Y34" i="13"/>
  <c r="Z34" i="13"/>
  <c r="C35" i="13"/>
  <c r="D35" i="13"/>
  <c r="E35" i="13"/>
  <c r="F35" i="13"/>
  <c r="G35" i="13"/>
  <c r="H35" i="13"/>
  <c r="I35" i="13"/>
  <c r="J35" i="13"/>
  <c r="K35" i="13"/>
  <c r="L35" i="13"/>
  <c r="M35" i="13"/>
  <c r="N35" i="13"/>
  <c r="O35" i="13"/>
  <c r="P35" i="13"/>
  <c r="Q35" i="13"/>
  <c r="R35" i="13"/>
  <c r="S35" i="13"/>
  <c r="T35" i="13"/>
  <c r="U35" i="13"/>
  <c r="V35" i="13"/>
  <c r="W35" i="13"/>
  <c r="X35" i="13"/>
  <c r="Y35" i="13"/>
  <c r="Z35" i="13"/>
  <c r="C36" i="13"/>
  <c r="D36" i="13"/>
  <c r="E36" i="13"/>
  <c r="F36" i="13"/>
  <c r="G36" i="13"/>
  <c r="H36" i="13"/>
  <c r="I36" i="13"/>
  <c r="J36" i="13"/>
  <c r="K36" i="13"/>
  <c r="L36" i="13"/>
  <c r="M36" i="13"/>
  <c r="N36" i="13"/>
  <c r="O36" i="13"/>
  <c r="P36" i="13"/>
  <c r="Q36" i="13"/>
  <c r="R36" i="13"/>
  <c r="S36" i="13"/>
  <c r="T36" i="13"/>
  <c r="U36" i="13"/>
  <c r="V36" i="13"/>
  <c r="W36" i="13"/>
  <c r="X36" i="13"/>
  <c r="Y36" i="13"/>
  <c r="Z36" i="13"/>
  <c r="C37" i="13"/>
  <c r="D37" i="13"/>
  <c r="E37" i="13"/>
  <c r="F37" i="13"/>
  <c r="G37" i="13"/>
  <c r="H37" i="13"/>
  <c r="I37" i="13"/>
  <c r="J37" i="13"/>
  <c r="K37" i="13"/>
  <c r="L37" i="13"/>
  <c r="M37" i="13"/>
  <c r="N37" i="13"/>
  <c r="O37" i="13"/>
  <c r="P37" i="13"/>
  <c r="Q37" i="13"/>
  <c r="R37" i="13"/>
  <c r="S37" i="13"/>
  <c r="T37" i="13"/>
  <c r="U37" i="13"/>
  <c r="V37" i="13"/>
  <c r="W37" i="13"/>
  <c r="X37" i="13"/>
  <c r="Y37" i="13"/>
  <c r="Z37" i="13"/>
  <c r="C38" i="13"/>
  <c r="D38" i="13"/>
  <c r="E38" i="13"/>
  <c r="F38" i="13"/>
  <c r="G38" i="13"/>
  <c r="H38" i="13"/>
  <c r="I38" i="13"/>
  <c r="K38" i="13"/>
  <c r="L38" i="13"/>
  <c r="N38" i="13"/>
  <c r="P38" i="13"/>
  <c r="Q38" i="13"/>
  <c r="C39" i="13"/>
  <c r="D39" i="13"/>
  <c r="E39" i="13"/>
  <c r="F39" i="13"/>
  <c r="G39" i="13"/>
  <c r="H39" i="13"/>
  <c r="I39" i="13"/>
  <c r="J39" i="13"/>
  <c r="K39" i="13"/>
  <c r="L39" i="13"/>
  <c r="M39" i="13"/>
  <c r="N39" i="13"/>
  <c r="O39" i="13"/>
  <c r="P39" i="13"/>
  <c r="Q39" i="13"/>
  <c r="R39" i="13"/>
  <c r="S39" i="13"/>
  <c r="T39" i="13"/>
  <c r="U39" i="13"/>
  <c r="V39" i="13"/>
  <c r="W39" i="13"/>
  <c r="X39" i="13"/>
  <c r="Y39" i="13"/>
  <c r="Z39" i="13"/>
  <c r="C40" i="13"/>
  <c r="D40" i="13"/>
  <c r="E40" i="13"/>
  <c r="F40" i="13"/>
  <c r="G40" i="13"/>
  <c r="H40" i="13"/>
  <c r="I40" i="13"/>
  <c r="J40" i="13"/>
  <c r="K40" i="13"/>
  <c r="L40" i="13"/>
  <c r="M40" i="13"/>
  <c r="N40" i="13"/>
  <c r="O40" i="13"/>
  <c r="P40" i="13"/>
  <c r="Q40" i="13"/>
  <c r="R40" i="13"/>
  <c r="S40" i="13"/>
  <c r="T40" i="13"/>
  <c r="U40" i="13"/>
  <c r="V40" i="13"/>
  <c r="W40" i="13"/>
  <c r="X40" i="13"/>
  <c r="Y40" i="13"/>
  <c r="Z40" i="13"/>
  <c r="C41" i="13"/>
  <c r="D41" i="13"/>
  <c r="E41" i="13"/>
  <c r="F41" i="13"/>
  <c r="G41" i="13"/>
  <c r="H41" i="13"/>
  <c r="I41" i="13"/>
  <c r="J41" i="13"/>
  <c r="K41" i="13"/>
  <c r="L41" i="13"/>
  <c r="M41" i="13"/>
  <c r="N41" i="13"/>
  <c r="O41" i="13"/>
  <c r="P41" i="13"/>
  <c r="Q41" i="13"/>
  <c r="R41" i="13"/>
  <c r="S41" i="13"/>
  <c r="T41" i="13"/>
  <c r="U41" i="13"/>
  <c r="V41" i="13"/>
  <c r="W41" i="13"/>
  <c r="X41" i="13"/>
  <c r="Y41" i="13"/>
  <c r="Z41" i="13"/>
  <c r="C42" i="13"/>
  <c r="D42" i="13"/>
  <c r="E42" i="13"/>
  <c r="F42" i="13"/>
  <c r="G42" i="13"/>
  <c r="H42" i="13"/>
  <c r="I42" i="13"/>
  <c r="J42" i="13"/>
  <c r="K42" i="13"/>
  <c r="L42" i="13"/>
  <c r="M42" i="13"/>
  <c r="N42" i="13"/>
  <c r="O42" i="13"/>
  <c r="P42" i="13"/>
  <c r="Q42" i="13"/>
  <c r="R42" i="13"/>
  <c r="S42" i="13"/>
  <c r="T42" i="13"/>
  <c r="U42" i="13"/>
  <c r="V42" i="13"/>
  <c r="W42" i="13"/>
  <c r="X42" i="13"/>
  <c r="Y42" i="13"/>
  <c r="Z42" i="13"/>
  <c r="C43" i="13"/>
  <c r="D43" i="13"/>
  <c r="E43" i="13"/>
  <c r="F43" i="13"/>
  <c r="G43" i="13"/>
  <c r="H43" i="13"/>
  <c r="I43" i="13"/>
  <c r="J43" i="13"/>
  <c r="K43" i="13"/>
  <c r="L43" i="13"/>
  <c r="M43" i="13"/>
  <c r="N43" i="13"/>
  <c r="O43" i="13"/>
  <c r="P43" i="13"/>
  <c r="Q43" i="13"/>
  <c r="R43" i="13"/>
  <c r="S43" i="13"/>
  <c r="T43" i="13"/>
  <c r="U43" i="13"/>
  <c r="V43" i="13"/>
  <c r="W43" i="13"/>
  <c r="X43" i="13"/>
  <c r="Y43" i="13"/>
  <c r="Z43" i="13"/>
  <c r="C44" i="13"/>
  <c r="D44" i="13"/>
  <c r="E44" i="13"/>
  <c r="F44" i="13"/>
  <c r="G44" i="13"/>
  <c r="H44" i="13"/>
  <c r="I44" i="13"/>
  <c r="J44" i="13"/>
  <c r="K44" i="13"/>
  <c r="L44" i="13"/>
  <c r="M44" i="13"/>
  <c r="N44" i="13"/>
  <c r="O44" i="13"/>
  <c r="P44" i="13"/>
  <c r="Q44" i="13"/>
  <c r="R44" i="13"/>
  <c r="S44" i="13"/>
  <c r="T44" i="13"/>
  <c r="U44" i="13"/>
  <c r="V44" i="13"/>
  <c r="W44" i="13"/>
  <c r="X44" i="13"/>
  <c r="Y44" i="13"/>
  <c r="Z44" i="13"/>
  <c r="C45" i="13"/>
  <c r="D45" i="13"/>
  <c r="E45" i="13"/>
  <c r="F45" i="13"/>
  <c r="G45" i="13"/>
  <c r="H45" i="13"/>
  <c r="I45" i="13"/>
  <c r="J45" i="13"/>
  <c r="K45" i="13"/>
  <c r="L45" i="13"/>
  <c r="M45" i="13"/>
  <c r="N45" i="13"/>
  <c r="O45" i="13"/>
  <c r="P45" i="13"/>
  <c r="Q45" i="13"/>
  <c r="R45" i="13"/>
  <c r="S45" i="13"/>
  <c r="T45" i="13"/>
  <c r="U45" i="13"/>
  <c r="V45" i="13"/>
  <c r="W45" i="13"/>
  <c r="X45" i="13"/>
  <c r="Y45" i="13"/>
  <c r="Z45" i="13"/>
  <c r="C46" i="13"/>
  <c r="D46" i="13"/>
  <c r="E46" i="13"/>
  <c r="F46" i="13"/>
  <c r="G46" i="13"/>
  <c r="H46" i="13"/>
  <c r="I46" i="13"/>
  <c r="J46" i="13"/>
  <c r="K46" i="13"/>
  <c r="L46" i="13"/>
  <c r="M46" i="13"/>
  <c r="N46" i="13"/>
  <c r="O46" i="13"/>
  <c r="P46" i="13"/>
  <c r="Q46" i="13"/>
  <c r="R46" i="13"/>
  <c r="S46" i="13"/>
  <c r="T46" i="13"/>
  <c r="U46" i="13"/>
  <c r="V46" i="13"/>
  <c r="W46" i="13"/>
  <c r="X46" i="13"/>
  <c r="Y46" i="13"/>
  <c r="Z46" i="13"/>
  <c r="C47" i="13"/>
  <c r="D47" i="13"/>
  <c r="E47" i="13"/>
  <c r="F47" i="13"/>
  <c r="G47" i="13"/>
  <c r="H47" i="13"/>
  <c r="I47" i="13"/>
  <c r="J47" i="13"/>
  <c r="K47" i="13"/>
  <c r="L47" i="13"/>
  <c r="M47" i="13"/>
  <c r="N47" i="13"/>
  <c r="O47" i="13"/>
  <c r="P47" i="13"/>
  <c r="Q47" i="13"/>
  <c r="R47" i="13"/>
  <c r="S47" i="13"/>
  <c r="T47" i="13"/>
  <c r="U47" i="13"/>
  <c r="V47" i="13"/>
  <c r="W47" i="13"/>
  <c r="X47" i="13"/>
  <c r="Y47" i="13"/>
  <c r="Z47" i="13"/>
  <c r="C48" i="13"/>
  <c r="D48" i="13"/>
  <c r="E48" i="13"/>
  <c r="F48" i="13"/>
  <c r="G48" i="13"/>
  <c r="H48" i="13"/>
  <c r="I48" i="13"/>
  <c r="J48" i="13"/>
  <c r="K48" i="13"/>
  <c r="L48" i="13"/>
  <c r="M48" i="13"/>
  <c r="N48" i="13"/>
  <c r="O48" i="13"/>
  <c r="P48" i="13"/>
  <c r="Q48" i="13"/>
  <c r="R48" i="13"/>
  <c r="S48" i="13"/>
  <c r="T48" i="13"/>
  <c r="U48" i="13"/>
  <c r="V48" i="13"/>
  <c r="W48" i="13"/>
  <c r="X48" i="13"/>
  <c r="Y48" i="13"/>
  <c r="Z48" i="13"/>
  <c r="C49" i="13"/>
  <c r="D49" i="13"/>
  <c r="E49" i="13"/>
  <c r="F49" i="13"/>
  <c r="G49" i="13"/>
  <c r="H49" i="13"/>
  <c r="I49" i="13"/>
  <c r="J49" i="13"/>
  <c r="K49" i="13"/>
  <c r="L49" i="13"/>
  <c r="M49" i="13"/>
  <c r="N49" i="13"/>
  <c r="O49" i="13"/>
  <c r="P49" i="13"/>
  <c r="Q49" i="13"/>
  <c r="R49" i="13"/>
  <c r="S49" i="13"/>
  <c r="T49" i="13"/>
  <c r="U49" i="13"/>
  <c r="V49" i="13"/>
  <c r="W49" i="13"/>
  <c r="X49" i="13"/>
  <c r="Y49" i="13"/>
  <c r="Z49" i="13"/>
  <c r="C50" i="13"/>
  <c r="D50" i="13"/>
  <c r="E50" i="13"/>
  <c r="F50" i="13"/>
  <c r="G50" i="13"/>
  <c r="H50" i="13"/>
  <c r="I50" i="13"/>
  <c r="J50" i="13"/>
  <c r="K50" i="13"/>
  <c r="L50" i="13"/>
  <c r="M50" i="13"/>
  <c r="N50" i="13"/>
  <c r="O50" i="13"/>
  <c r="P50" i="13"/>
  <c r="Q50" i="13"/>
  <c r="R50" i="13"/>
  <c r="S50" i="13"/>
  <c r="T50" i="13"/>
  <c r="U50" i="13"/>
  <c r="V50" i="13"/>
  <c r="W50" i="13"/>
  <c r="X50" i="13"/>
  <c r="Y50" i="13"/>
  <c r="Z50" i="13"/>
  <c r="C51" i="13"/>
  <c r="D51" i="13"/>
  <c r="E51" i="13"/>
  <c r="F51" i="13"/>
  <c r="G51" i="13"/>
  <c r="H51" i="13"/>
  <c r="I51" i="13"/>
  <c r="J51" i="13"/>
  <c r="K51" i="13"/>
  <c r="L51" i="13"/>
  <c r="M51" i="13"/>
  <c r="N51" i="13"/>
  <c r="O51" i="13"/>
  <c r="P51" i="13"/>
  <c r="Q51" i="13"/>
  <c r="R51" i="13"/>
  <c r="S51" i="13"/>
  <c r="T51" i="13"/>
  <c r="U51" i="13"/>
  <c r="V51" i="13"/>
  <c r="W51" i="13"/>
  <c r="X51" i="13"/>
  <c r="Y51" i="13"/>
  <c r="Z51" i="13"/>
  <c r="C52" i="13"/>
  <c r="D52" i="13"/>
  <c r="E52" i="13"/>
  <c r="F52" i="13"/>
  <c r="G52" i="13"/>
  <c r="H52" i="13"/>
  <c r="I52" i="13"/>
  <c r="K52" i="13"/>
  <c r="L52" i="13"/>
  <c r="N52" i="13"/>
  <c r="P52" i="13"/>
  <c r="Q52" i="13"/>
  <c r="C53" i="13"/>
  <c r="D53" i="13"/>
  <c r="E53" i="13"/>
  <c r="F53" i="13"/>
  <c r="G53" i="13"/>
  <c r="H53" i="13"/>
  <c r="I53" i="13"/>
  <c r="J53" i="13"/>
  <c r="K53" i="13"/>
  <c r="L53" i="13"/>
  <c r="M53" i="13"/>
  <c r="N53" i="13"/>
  <c r="O53" i="13"/>
  <c r="P53" i="13"/>
  <c r="Q53" i="13"/>
  <c r="R53" i="13"/>
  <c r="S53" i="13"/>
  <c r="T53" i="13"/>
  <c r="U53" i="13"/>
  <c r="V53" i="13"/>
  <c r="W53" i="13"/>
  <c r="X53" i="13"/>
  <c r="Y53" i="13"/>
  <c r="Z53" i="13"/>
  <c r="C54" i="13"/>
  <c r="D54" i="13"/>
  <c r="E54" i="13"/>
  <c r="F54" i="13"/>
  <c r="G54" i="13"/>
  <c r="H54" i="13"/>
  <c r="I54" i="13"/>
  <c r="J54" i="13"/>
  <c r="K54" i="13"/>
  <c r="L54" i="13"/>
  <c r="M54" i="13"/>
  <c r="N54" i="13"/>
  <c r="O54" i="13"/>
  <c r="P54" i="13"/>
  <c r="Q54" i="13"/>
  <c r="R54" i="13"/>
  <c r="S54" i="13"/>
  <c r="T54" i="13"/>
  <c r="U54" i="13"/>
  <c r="V54" i="13"/>
  <c r="W54" i="13"/>
  <c r="X54" i="13"/>
  <c r="Y54" i="13"/>
  <c r="Z54" i="13"/>
  <c r="C55" i="13"/>
  <c r="D55" i="13"/>
  <c r="E55" i="13"/>
  <c r="F55" i="13"/>
  <c r="G55" i="13"/>
  <c r="H55" i="13"/>
  <c r="I55" i="13"/>
  <c r="J55" i="13"/>
  <c r="K55" i="13"/>
  <c r="L55" i="13"/>
  <c r="M55" i="13"/>
  <c r="N55" i="13"/>
  <c r="O55" i="13"/>
  <c r="P55" i="13"/>
  <c r="Q55" i="13"/>
  <c r="R55" i="13"/>
  <c r="S55" i="13"/>
  <c r="T55" i="13"/>
  <c r="U55" i="13"/>
  <c r="V55" i="13"/>
  <c r="W55" i="13"/>
  <c r="X55" i="13"/>
  <c r="Y55" i="13"/>
  <c r="Z55" i="13"/>
  <c r="C56" i="13"/>
  <c r="D56" i="13"/>
  <c r="E56" i="13"/>
  <c r="F56" i="13"/>
  <c r="G56" i="13"/>
  <c r="H56" i="13"/>
  <c r="I56" i="13"/>
  <c r="J56" i="13"/>
  <c r="K56" i="13"/>
  <c r="L56" i="13"/>
  <c r="M56" i="13"/>
  <c r="N56" i="13"/>
  <c r="O56" i="13"/>
  <c r="P56" i="13"/>
  <c r="Q56" i="13"/>
  <c r="R56" i="13"/>
  <c r="S56" i="13"/>
  <c r="T56" i="13"/>
  <c r="U56" i="13"/>
  <c r="V56" i="13"/>
  <c r="W56" i="13"/>
  <c r="X56" i="13"/>
  <c r="Y56" i="13"/>
  <c r="Z56" i="13"/>
  <c r="C57" i="13"/>
  <c r="D57" i="13"/>
  <c r="E57" i="13"/>
  <c r="F57" i="13"/>
  <c r="G57" i="13"/>
  <c r="H57" i="13"/>
  <c r="I57" i="13"/>
  <c r="J57" i="13"/>
  <c r="K57" i="13"/>
  <c r="L57" i="13"/>
  <c r="M57" i="13"/>
  <c r="N57" i="13"/>
  <c r="O57" i="13"/>
  <c r="P57" i="13"/>
  <c r="Q57" i="13"/>
  <c r="R57" i="13"/>
  <c r="S57" i="13"/>
  <c r="T57" i="13"/>
  <c r="U57" i="13"/>
  <c r="V57" i="13"/>
  <c r="W57" i="13"/>
  <c r="X57" i="13"/>
  <c r="Y57" i="13"/>
  <c r="Z57" i="13"/>
  <c r="C58" i="13"/>
  <c r="D58" i="13"/>
  <c r="E58" i="13"/>
  <c r="F58" i="13"/>
  <c r="G58" i="13"/>
  <c r="H58" i="13"/>
  <c r="I58" i="13"/>
  <c r="J58" i="13"/>
  <c r="K58" i="13"/>
  <c r="L58" i="13"/>
  <c r="M58" i="13"/>
  <c r="N58" i="13"/>
  <c r="O58" i="13"/>
  <c r="P58" i="13"/>
  <c r="Q58" i="13"/>
  <c r="R58" i="13"/>
  <c r="S58" i="13"/>
  <c r="T58" i="13"/>
  <c r="U58" i="13"/>
  <c r="V58" i="13"/>
  <c r="W58" i="13"/>
  <c r="X58" i="13"/>
  <c r="Y58" i="13"/>
  <c r="Z58" i="13"/>
  <c r="C59" i="13"/>
  <c r="D59" i="13"/>
  <c r="E59" i="13"/>
  <c r="F59" i="13"/>
  <c r="G59" i="13"/>
  <c r="H59" i="13"/>
  <c r="I59" i="13"/>
  <c r="J59" i="13"/>
  <c r="K59" i="13"/>
  <c r="L59" i="13"/>
  <c r="M59" i="13"/>
  <c r="N59" i="13"/>
  <c r="O59" i="13"/>
  <c r="P59" i="13"/>
  <c r="Q59" i="13"/>
  <c r="R59" i="13"/>
  <c r="S59" i="13"/>
  <c r="T59" i="13"/>
  <c r="U59" i="13"/>
  <c r="V59" i="13"/>
  <c r="W59" i="13"/>
  <c r="X59" i="13"/>
  <c r="Y59" i="13"/>
  <c r="Z59" i="13"/>
  <c r="C60" i="13"/>
  <c r="D60" i="13"/>
  <c r="E60" i="13"/>
  <c r="F60" i="13"/>
  <c r="G60" i="13"/>
  <c r="H60" i="13"/>
  <c r="I60" i="13"/>
  <c r="J60" i="13"/>
  <c r="K60" i="13"/>
  <c r="L60" i="13"/>
  <c r="M60" i="13"/>
  <c r="N60" i="13"/>
  <c r="O60" i="13"/>
  <c r="P60" i="13"/>
  <c r="Q60" i="13"/>
  <c r="R60" i="13"/>
  <c r="S60" i="13"/>
  <c r="T60" i="13"/>
  <c r="U60" i="13"/>
  <c r="V60" i="13"/>
  <c r="W60" i="13"/>
  <c r="X60" i="13"/>
  <c r="Y60" i="13"/>
  <c r="Z60" i="13"/>
  <c r="C61" i="13"/>
  <c r="D61" i="13"/>
  <c r="E61" i="13"/>
  <c r="F61" i="13"/>
  <c r="G61" i="13"/>
  <c r="H61" i="13"/>
  <c r="I61" i="13"/>
  <c r="J61" i="13"/>
  <c r="K61" i="13"/>
  <c r="L61" i="13"/>
  <c r="M61" i="13"/>
  <c r="N61" i="13"/>
  <c r="O61" i="13"/>
  <c r="P61" i="13"/>
  <c r="Q61" i="13"/>
  <c r="R61" i="13"/>
  <c r="S61" i="13"/>
  <c r="T61" i="13"/>
  <c r="U61" i="13"/>
  <c r="V61" i="13"/>
  <c r="W61" i="13"/>
  <c r="X61" i="13"/>
  <c r="Y61" i="13"/>
  <c r="Z61" i="13"/>
  <c r="C62" i="13"/>
  <c r="D62" i="13"/>
  <c r="E62" i="13"/>
  <c r="F62" i="13"/>
  <c r="G62" i="13"/>
  <c r="H62" i="13"/>
  <c r="I62" i="13"/>
  <c r="J62" i="13"/>
  <c r="K62" i="13"/>
  <c r="L62" i="13"/>
  <c r="M62" i="13"/>
  <c r="N62" i="13"/>
  <c r="O62" i="13"/>
  <c r="P62" i="13"/>
  <c r="Q62" i="13"/>
  <c r="R62" i="13"/>
  <c r="S62" i="13"/>
  <c r="T62" i="13"/>
  <c r="U62" i="13"/>
  <c r="V62" i="13"/>
  <c r="W62" i="13"/>
  <c r="X62" i="13"/>
  <c r="Y62" i="13"/>
  <c r="Z62" i="13"/>
  <c r="C63" i="13"/>
  <c r="D63" i="13"/>
  <c r="E63" i="13"/>
  <c r="F63" i="13"/>
  <c r="G63" i="13"/>
  <c r="H63" i="13"/>
  <c r="I63" i="13"/>
  <c r="J63" i="13"/>
  <c r="K63" i="13"/>
  <c r="L63" i="13"/>
  <c r="M63" i="13"/>
  <c r="N63" i="13"/>
  <c r="O63" i="13"/>
  <c r="P63" i="13"/>
  <c r="Q63" i="13"/>
  <c r="R63" i="13"/>
  <c r="S63" i="13"/>
  <c r="T63" i="13"/>
  <c r="U63" i="13"/>
  <c r="V63" i="13"/>
  <c r="W63" i="13"/>
  <c r="X63" i="13"/>
  <c r="Y63" i="13"/>
  <c r="Z63"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9" i="13"/>
  <c r="B6" i="13"/>
  <c r="D4" i="1"/>
  <c r="C4" i="1"/>
  <c r="B4" i="1"/>
  <c r="Z5" i="1"/>
  <c r="Y5" i="1"/>
  <c r="X5" i="1"/>
  <c r="W5" i="1"/>
  <c r="V5" i="1"/>
  <c r="U5" i="1"/>
  <c r="T5" i="1"/>
  <c r="S5" i="1"/>
  <c r="R5" i="1"/>
  <c r="O5" i="1"/>
  <c r="M5" i="1"/>
  <c r="J5" i="1"/>
  <c r="Z23" i="1"/>
  <c r="Y23" i="1"/>
  <c r="X23" i="1"/>
  <c r="W23" i="1"/>
  <c r="V23" i="1"/>
  <c r="U23" i="1"/>
  <c r="T23" i="1"/>
  <c r="S23" i="1"/>
  <c r="R23" i="1"/>
  <c r="O23" i="1"/>
  <c r="M23" i="1"/>
  <c r="J23" i="1"/>
  <c r="Z38" i="1"/>
  <c r="Y38" i="1"/>
  <c r="X38" i="1"/>
  <c r="W38" i="1"/>
  <c r="V38" i="1"/>
  <c r="U38" i="1"/>
  <c r="T38" i="1"/>
  <c r="S38" i="1"/>
  <c r="R38" i="1"/>
  <c r="O38" i="1"/>
  <c r="M38" i="1"/>
  <c r="J38" i="1"/>
  <c r="Z52" i="1"/>
  <c r="Y52" i="1"/>
  <c r="X52" i="1"/>
  <c r="W52" i="1"/>
  <c r="V52" i="1"/>
  <c r="U52" i="1"/>
  <c r="T52" i="1"/>
  <c r="S52" i="1"/>
  <c r="R52" i="1"/>
  <c r="O52" i="1"/>
  <c r="M52" i="1"/>
  <c r="J52" i="1"/>
  <c r="AA5" i="2"/>
  <c r="Z5" i="2"/>
  <c r="Y5" i="2"/>
  <c r="X5" i="2"/>
  <c r="W5" i="2"/>
  <c r="V5" i="2"/>
  <c r="U5" i="2"/>
  <c r="T5" i="2"/>
  <c r="S5" i="2"/>
  <c r="R5" i="2"/>
  <c r="O5" i="2"/>
  <c r="M5" i="2"/>
  <c r="J5" i="2"/>
  <c r="AA23" i="2"/>
  <c r="Z23" i="2"/>
  <c r="Y23" i="2"/>
  <c r="X23" i="2"/>
  <c r="W23" i="2"/>
  <c r="V23" i="2"/>
  <c r="U23" i="2"/>
  <c r="T23" i="2"/>
  <c r="S23" i="2"/>
  <c r="R23" i="2"/>
  <c r="O23" i="2"/>
  <c r="M23" i="2"/>
  <c r="J23" i="2"/>
  <c r="AA38" i="2"/>
  <c r="Z38" i="2"/>
  <c r="Y38" i="2"/>
  <c r="X38" i="2"/>
  <c r="W38" i="2"/>
  <c r="V38" i="2"/>
  <c r="U38" i="2"/>
  <c r="T38" i="2"/>
  <c r="S38" i="2"/>
  <c r="R38" i="2"/>
  <c r="O38" i="2"/>
  <c r="M38" i="2"/>
  <c r="J38" i="2"/>
  <c r="O52" i="2"/>
  <c r="AA52" i="2"/>
  <c r="Z52" i="2"/>
  <c r="Y52" i="2"/>
  <c r="X52" i="2"/>
  <c r="W52" i="2"/>
  <c r="V52" i="2"/>
  <c r="U52" i="2"/>
  <c r="T52" i="2"/>
  <c r="S52" i="2"/>
  <c r="R52" i="2"/>
  <c r="M52" i="2"/>
  <c r="J52" i="2"/>
  <c r="AA5" i="3"/>
  <c r="Z5" i="3"/>
  <c r="Y5" i="3"/>
  <c r="X5" i="3"/>
  <c r="W5" i="3"/>
  <c r="V5" i="3"/>
  <c r="U5" i="3"/>
  <c r="T5" i="3"/>
  <c r="S5" i="3"/>
  <c r="R5" i="3"/>
  <c r="AA23" i="3"/>
  <c r="Z23" i="3"/>
  <c r="Y23" i="3"/>
  <c r="X23" i="3"/>
  <c r="W23" i="3"/>
  <c r="V23" i="3"/>
  <c r="U23" i="3"/>
  <c r="T23" i="3"/>
  <c r="S23" i="3"/>
  <c r="R23" i="3"/>
  <c r="AA38" i="3"/>
  <c r="Z38" i="3"/>
  <c r="Y38" i="3"/>
  <c r="X38" i="3"/>
  <c r="W38" i="3"/>
  <c r="V38" i="3"/>
  <c r="U38" i="3"/>
  <c r="T38" i="3"/>
  <c r="S38" i="3"/>
  <c r="R38" i="3"/>
  <c r="AA52" i="3"/>
  <c r="Z52" i="3"/>
  <c r="Y52" i="3"/>
  <c r="X52" i="3"/>
  <c r="W52" i="3"/>
  <c r="V52" i="3"/>
  <c r="U52" i="3"/>
  <c r="T52" i="3"/>
  <c r="S52" i="3"/>
  <c r="R52" i="3"/>
  <c r="O5" i="3"/>
  <c r="O23" i="3"/>
  <c r="O38" i="3"/>
  <c r="O52" i="3"/>
  <c r="N5" i="3"/>
  <c r="M52" i="3"/>
  <c r="M38" i="3"/>
  <c r="M23" i="3"/>
  <c r="M5" i="3"/>
  <c r="L5" i="3"/>
  <c r="K5" i="3"/>
  <c r="J5" i="3"/>
  <c r="J23" i="3"/>
  <c r="J38" i="3"/>
  <c r="J52" i="3"/>
  <c r="I5" i="3"/>
  <c r="AA5" i="4"/>
  <c r="Z5" i="4"/>
  <c r="Y5" i="4"/>
  <c r="X5" i="4"/>
  <c r="V5" i="4"/>
  <c r="U5" i="4"/>
  <c r="T5" i="4"/>
  <c r="S5" i="4"/>
  <c r="R5" i="4"/>
  <c r="AA23" i="4"/>
  <c r="Z23" i="4"/>
  <c r="Y23" i="4"/>
  <c r="X23" i="4"/>
  <c r="W23" i="4"/>
  <c r="V23" i="4"/>
  <c r="U23" i="4"/>
  <c r="T23" i="4"/>
  <c r="S23" i="4"/>
  <c r="R23" i="4"/>
  <c r="AA38" i="4"/>
  <c r="Z38" i="4"/>
  <c r="Y38" i="4"/>
  <c r="X38" i="4"/>
  <c r="W38" i="4"/>
  <c r="V38" i="4"/>
  <c r="U38" i="4"/>
  <c r="T38" i="4"/>
  <c r="S38" i="4"/>
  <c r="R38" i="4"/>
  <c r="AA52" i="4"/>
  <c r="Z52" i="4"/>
  <c r="Y52" i="4"/>
  <c r="X52" i="4"/>
  <c r="W52" i="4"/>
  <c r="V52" i="4"/>
  <c r="U52" i="4"/>
  <c r="T52" i="4"/>
  <c r="S52" i="4"/>
  <c r="R52" i="4"/>
  <c r="O5" i="4"/>
  <c r="N5" i="4"/>
  <c r="M5" i="4"/>
  <c r="O52" i="4"/>
  <c r="M52" i="4"/>
  <c r="O38" i="4"/>
  <c r="M38" i="4"/>
  <c r="O23" i="4"/>
  <c r="M23" i="4"/>
  <c r="J52" i="4"/>
  <c r="J38" i="4"/>
  <c r="J23" i="4"/>
  <c r="J5" i="4"/>
  <c r="I5" i="4"/>
  <c r="AA5" i="5"/>
  <c r="Z5" i="5"/>
  <c r="Y5" i="5"/>
  <c r="X5" i="5"/>
  <c r="V5" i="5"/>
  <c r="U5" i="5"/>
  <c r="T5" i="5"/>
  <c r="S5" i="5"/>
  <c r="R5" i="5"/>
  <c r="AA23" i="5"/>
  <c r="Z23" i="5"/>
  <c r="Y23" i="5"/>
  <c r="X23" i="5"/>
  <c r="W23" i="5"/>
  <c r="V23" i="5"/>
  <c r="U23" i="5"/>
  <c r="T23" i="5"/>
  <c r="S23" i="5"/>
  <c r="R23" i="5"/>
  <c r="AA38" i="5"/>
  <c r="Z38" i="5"/>
  <c r="Y38" i="5"/>
  <c r="X38" i="5"/>
  <c r="W38" i="5"/>
  <c r="V38" i="5"/>
  <c r="U38" i="5"/>
  <c r="T38" i="5"/>
  <c r="S38" i="5"/>
  <c r="R38" i="5"/>
  <c r="AA52" i="5"/>
  <c r="Z52" i="5"/>
  <c r="Y52" i="5"/>
  <c r="X52" i="5"/>
  <c r="W52" i="5"/>
  <c r="V52" i="5"/>
  <c r="U52" i="5"/>
  <c r="T52" i="5"/>
  <c r="S52" i="5"/>
  <c r="R52" i="5"/>
  <c r="X4" i="2" l="1"/>
  <c r="S4" i="5"/>
  <c r="J4" i="4"/>
  <c r="V4" i="2"/>
  <c r="AD10" i="17"/>
  <c r="AD28" i="17"/>
  <c r="AD57" i="17"/>
  <c r="AB9" i="17"/>
  <c r="Z9" i="17"/>
  <c r="W9" i="17"/>
  <c r="AD43" i="17"/>
  <c r="R4" i="5"/>
  <c r="T4" i="4"/>
  <c r="X4" i="3"/>
  <c r="J4" i="3"/>
  <c r="Y4" i="3"/>
  <c r="V4" i="1"/>
  <c r="Y4" i="2"/>
  <c r="W4" i="1"/>
  <c r="S4" i="3"/>
  <c r="R4" i="2"/>
  <c r="X4" i="5"/>
  <c r="Z4" i="4"/>
  <c r="O4" i="3"/>
  <c r="T4" i="3"/>
  <c r="S4" i="2"/>
  <c r="AA4" i="2"/>
  <c r="Y4" i="1"/>
  <c r="X9" i="17"/>
  <c r="W4" i="2"/>
  <c r="U4" i="1"/>
  <c r="T4" i="5"/>
  <c r="U4" i="5"/>
  <c r="X4" i="4"/>
  <c r="Z4" i="3"/>
  <c r="Z4" i="2"/>
  <c r="Y4" i="5"/>
  <c r="R4" i="4"/>
  <c r="U4" i="3"/>
  <c r="T4" i="2"/>
  <c r="R4" i="1"/>
  <c r="Z4" i="1"/>
  <c r="W4" i="3"/>
  <c r="T4" i="1"/>
  <c r="V4" i="4"/>
  <c r="R4" i="3"/>
  <c r="V4" i="5"/>
  <c r="AA4" i="3"/>
  <c r="X4" i="1"/>
  <c r="AA9" i="17"/>
  <c r="AE9" i="17" s="1"/>
  <c r="Z4" i="5"/>
  <c r="O4" i="4"/>
  <c r="V4" i="3"/>
  <c r="U4" i="2"/>
  <c r="S4" i="1"/>
  <c r="M4" i="4"/>
  <c r="AA4" i="4"/>
  <c r="S4" i="4"/>
  <c r="U4" i="4"/>
  <c r="Y4" i="4"/>
  <c r="J4" i="1"/>
  <c r="O4" i="1"/>
  <c r="M4" i="1"/>
  <c r="J4" i="2"/>
  <c r="O4" i="2"/>
  <c r="M4" i="2"/>
  <c r="M4" i="3"/>
  <c r="AA4" i="5"/>
  <c r="O52" i="5"/>
  <c r="M52" i="5"/>
  <c r="J52" i="5"/>
  <c r="O38" i="5"/>
  <c r="M38" i="5"/>
  <c r="J38" i="5"/>
  <c r="O23" i="5"/>
  <c r="M23" i="5"/>
  <c r="J23" i="5"/>
  <c r="M5" i="5"/>
  <c r="O5" i="5"/>
  <c r="N4" i="5"/>
  <c r="L4" i="5"/>
  <c r="K4" i="5"/>
  <c r="J5" i="5"/>
  <c r="AA52" i="9"/>
  <c r="Z52" i="9"/>
  <c r="Y52" i="9"/>
  <c r="X52" i="9"/>
  <c r="W52" i="9"/>
  <c r="V52" i="9"/>
  <c r="U52" i="9"/>
  <c r="T52" i="9"/>
  <c r="S52" i="9"/>
  <c r="R52" i="9"/>
  <c r="AA38" i="9"/>
  <c r="Z38" i="9"/>
  <c r="Y38" i="9"/>
  <c r="X38" i="9"/>
  <c r="W38" i="9"/>
  <c r="V38" i="9"/>
  <c r="U38" i="9"/>
  <c r="T38" i="9"/>
  <c r="S38" i="9"/>
  <c r="R38" i="9"/>
  <c r="AA23" i="9"/>
  <c r="Z23" i="9"/>
  <c r="Y23" i="9"/>
  <c r="X23" i="9"/>
  <c r="W23" i="9"/>
  <c r="V23" i="9"/>
  <c r="U23" i="9"/>
  <c r="T23" i="9"/>
  <c r="S23" i="9"/>
  <c r="R23" i="9"/>
  <c r="AA5" i="9"/>
  <c r="Z5" i="9"/>
  <c r="Y5" i="9"/>
  <c r="X5" i="9"/>
  <c r="V5" i="9"/>
  <c r="U5" i="9"/>
  <c r="T5" i="9"/>
  <c r="S5" i="9"/>
  <c r="R5" i="9"/>
  <c r="L5" i="9"/>
  <c r="K5" i="9"/>
  <c r="O5" i="9"/>
  <c r="M5" i="9"/>
  <c r="I5" i="9"/>
  <c r="J5" i="9"/>
  <c r="O52" i="9"/>
  <c r="M52" i="9"/>
  <c r="O38" i="9"/>
  <c r="M38" i="9"/>
  <c r="O23" i="9"/>
  <c r="M23" i="9"/>
  <c r="J52" i="9"/>
  <c r="J38" i="9"/>
  <c r="J23" i="9"/>
  <c r="N4" i="10"/>
  <c r="L4" i="10"/>
  <c r="K4" i="10"/>
  <c r="X4" i="9" l="1"/>
  <c r="Z5" i="13"/>
  <c r="AA20" i="16"/>
  <c r="Y50" i="16"/>
  <c r="AA38" i="16"/>
  <c r="Y68" i="16"/>
  <c r="AD9" i="17"/>
  <c r="Y54" i="16"/>
  <c r="Y37" i="16"/>
  <c r="M4" i="5"/>
  <c r="AA48" i="16"/>
  <c r="AA56" i="16"/>
  <c r="AA39" i="16"/>
  <c r="AA26" i="16"/>
  <c r="AA31" i="16"/>
  <c r="AA35" i="16"/>
  <c r="Y17" i="16"/>
  <c r="Y60" i="16"/>
  <c r="Y4" i="9"/>
  <c r="Z4" i="9"/>
  <c r="T4" i="9"/>
  <c r="AA4" i="9"/>
  <c r="AA52" i="16"/>
  <c r="Y27" i="16"/>
  <c r="AA67" i="16"/>
  <c r="W47" i="16"/>
  <c r="W16" i="16"/>
  <c r="W65" i="16"/>
  <c r="AA17" i="16"/>
  <c r="AA60" i="16"/>
  <c r="AA61" i="16"/>
  <c r="N4" i="1"/>
  <c r="N4" i="13" s="1"/>
  <c r="Y20" i="16"/>
  <c r="AA47" i="16"/>
  <c r="AA51" i="16"/>
  <c r="AA55" i="16"/>
  <c r="Y38" i="16"/>
  <c r="AA24" i="16"/>
  <c r="AA49" i="16"/>
  <c r="AA53" i="16"/>
  <c r="AA57" i="16"/>
  <c r="AA33" i="16"/>
  <c r="AA36" i="16"/>
  <c r="Y66" i="16"/>
  <c r="AA32" i="16"/>
  <c r="AA63" i="16"/>
  <c r="Y61" i="16"/>
  <c r="Y67" i="16"/>
  <c r="Y15" i="16"/>
  <c r="AA19" i="16"/>
  <c r="AA69" i="16"/>
  <c r="Y40" i="16"/>
  <c r="Y33" i="16"/>
  <c r="Y63" i="16"/>
  <c r="AA21" i="16"/>
  <c r="AA13" i="16"/>
  <c r="Y24" i="16"/>
  <c r="AA28" i="16"/>
  <c r="Y49" i="16"/>
  <c r="Y53" i="16"/>
  <c r="Y57" i="16"/>
  <c r="Y18" i="16"/>
  <c r="Y36" i="16"/>
  <c r="AA41" i="16"/>
  <c r="Y69" i="16"/>
  <c r="Y32" i="16"/>
  <c r="AA64" i="16"/>
  <c r="Y65" i="16"/>
  <c r="AA62" i="16"/>
  <c r="Y19" i="16"/>
  <c r="AA23" i="16"/>
  <c r="W42" i="16"/>
  <c r="W37" i="16"/>
  <c r="W17" i="16"/>
  <c r="Y25" i="16"/>
  <c r="Y16" i="16"/>
  <c r="Y46" i="16"/>
  <c r="Y47" i="16"/>
  <c r="Y51" i="16"/>
  <c r="Y55" i="16"/>
  <c r="AA18" i="16"/>
  <c r="AA22" i="16"/>
  <c r="AA42" i="16"/>
  <c r="AA34" i="16"/>
  <c r="AA14" i="16"/>
  <c r="AA25" i="16"/>
  <c r="W60" i="16"/>
  <c r="Y48" i="16"/>
  <c r="Y31" i="16"/>
  <c r="AA15" i="16"/>
  <c r="W61" i="16"/>
  <c r="Y39" i="16"/>
  <c r="AA43" i="16"/>
  <c r="AA66" i="16"/>
  <c r="Y13" i="16"/>
  <c r="Y28" i="16"/>
  <c r="Y41" i="16"/>
  <c r="Y42" i="16"/>
  <c r="AA68" i="16"/>
  <c r="Y34" i="16"/>
  <c r="Y64" i="16"/>
  <c r="AA65" i="16"/>
  <c r="Y21" i="16"/>
  <c r="W23" i="16"/>
  <c r="Y52" i="16"/>
  <c r="Y56" i="16"/>
  <c r="W41" i="16"/>
  <c r="W52" i="16"/>
  <c r="AA16" i="16"/>
  <c r="AA46" i="16"/>
  <c r="AA50" i="16"/>
  <c r="AA54" i="16"/>
  <c r="AC54" i="16" s="1"/>
  <c r="Y22" i="16"/>
  <c r="AA37" i="16"/>
  <c r="Y43" i="16"/>
  <c r="Y26" i="16"/>
  <c r="Y35" i="16"/>
  <c r="Y14" i="16"/>
  <c r="AA40" i="16"/>
  <c r="Y62" i="16"/>
  <c r="Y23" i="16"/>
  <c r="AA27" i="16"/>
  <c r="W40" i="16"/>
  <c r="W51" i="16"/>
  <c r="W64" i="16"/>
  <c r="W50" i="16"/>
  <c r="U4" i="9"/>
  <c r="W18" i="16"/>
  <c r="W34" i="16"/>
  <c r="W38" i="16"/>
  <c r="W39" i="16"/>
  <c r="W62" i="16"/>
  <c r="W66" i="16"/>
  <c r="W69" i="16"/>
  <c r="W20" i="16"/>
  <c r="W49" i="16"/>
  <c r="M4" i="9"/>
  <c r="V4" i="9"/>
  <c r="O4" i="5"/>
  <c r="W57" i="16"/>
  <c r="W67" i="16"/>
  <c r="W19" i="16"/>
  <c r="W48" i="16"/>
  <c r="W32" i="16"/>
  <c r="W55" i="16"/>
  <c r="R4" i="9"/>
  <c r="J4" i="5"/>
  <c r="W53" i="16"/>
  <c r="W21" i="16"/>
  <c r="W25" i="16"/>
  <c r="S4" i="9"/>
  <c r="W24" i="16"/>
  <c r="W26" i="16"/>
  <c r="W31" i="16"/>
  <c r="W35" i="16"/>
  <c r="W36" i="16"/>
  <c r="W63" i="16"/>
  <c r="W13" i="16"/>
  <c r="W28" i="16"/>
  <c r="W27" i="16"/>
  <c r="W68" i="16"/>
  <c r="W22" i="16"/>
  <c r="W33" i="16"/>
  <c r="W43" i="16"/>
  <c r="W54" i="16"/>
  <c r="J4" i="9"/>
  <c r="W14" i="16"/>
  <c r="W56" i="16"/>
  <c r="W46" i="16"/>
  <c r="K4" i="1"/>
  <c r="O4" i="9"/>
  <c r="AC38" i="16" l="1"/>
  <c r="AC50" i="16"/>
  <c r="AC68" i="16"/>
  <c r="AC20" i="16"/>
  <c r="AC37" i="16"/>
  <c r="AC15" i="16"/>
  <c r="AC60" i="16"/>
  <c r="AC35" i="16"/>
  <c r="AC17" i="16"/>
  <c r="AC26" i="16"/>
  <c r="AC56" i="16"/>
  <c r="AC39" i="16"/>
  <c r="AC31" i="16"/>
  <c r="AC48" i="16"/>
  <c r="AC67" i="16"/>
  <c r="AC27" i="16"/>
  <c r="AC52" i="16"/>
  <c r="AC53" i="16"/>
  <c r="AC63" i="16"/>
  <c r="AC33" i="16"/>
  <c r="AC32" i="16"/>
  <c r="AC61" i="16"/>
  <c r="AC18" i="16"/>
  <c r="AC49" i="16"/>
  <c r="AC51" i="16"/>
  <c r="AC24" i="16"/>
  <c r="AC19" i="16"/>
  <c r="AC25" i="16"/>
  <c r="AC47" i="16"/>
  <c r="AC57" i="16"/>
  <c r="AC40" i="16"/>
  <c r="AC69" i="16"/>
  <c r="AC65" i="16"/>
  <c r="AC66" i="16"/>
  <c r="AC41" i="16"/>
  <c r="AC64" i="16"/>
  <c r="AC36" i="16"/>
  <c r="AC55" i="16"/>
  <c r="AC62" i="16"/>
  <c r="AC28" i="16"/>
  <c r="AC23" i="16"/>
  <c r="AC16" i="16"/>
  <c r="AC21" i="16"/>
  <c r="AC13" i="16"/>
  <c r="AC34" i="16"/>
  <c r="AC46" i="16"/>
  <c r="AC22" i="16"/>
  <c r="AC42" i="16"/>
  <c r="AC14" i="16"/>
  <c r="AC43" i="16"/>
  <c r="L4" i="1"/>
  <c r="L4" i="13" s="1"/>
  <c r="K4" i="13"/>
  <c r="AA52" i="10"/>
  <c r="Z52" i="10"/>
  <c r="Y52" i="10"/>
  <c r="Y52" i="13" s="1"/>
  <c r="X52" i="10"/>
  <c r="X52" i="13" s="1"/>
  <c r="W52" i="10"/>
  <c r="V52" i="10"/>
  <c r="V52" i="13" s="1"/>
  <c r="U52" i="10"/>
  <c r="U52" i="13" s="1"/>
  <c r="T52" i="10"/>
  <c r="T52" i="13" s="1"/>
  <c r="S52" i="10"/>
  <c r="S52" i="13" s="1"/>
  <c r="R52" i="10"/>
  <c r="R52" i="13" s="1"/>
  <c r="AA38" i="10"/>
  <c r="Z38" i="10"/>
  <c r="Y38" i="10"/>
  <c r="Y38" i="13" s="1"/>
  <c r="X38" i="10"/>
  <c r="X38" i="13" s="1"/>
  <c r="W38" i="10"/>
  <c r="V38" i="10"/>
  <c r="V38" i="13" s="1"/>
  <c r="U38" i="10"/>
  <c r="U38" i="13" s="1"/>
  <c r="T38" i="10"/>
  <c r="T38" i="13" s="1"/>
  <c r="S38" i="10"/>
  <c r="S38" i="13" s="1"/>
  <c r="R38" i="10"/>
  <c r="R38" i="13" s="1"/>
  <c r="AA23" i="10"/>
  <c r="Z23" i="10"/>
  <c r="Y23" i="10"/>
  <c r="Y23" i="13" s="1"/>
  <c r="X23" i="10"/>
  <c r="X23" i="13" s="1"/>
  <c r="W23" i="10"/>
  <c r="V23" i="10"/>
  <c r="V23" i="13" s="1"/>
  <c r="U23" i="10"/>
  <c r="U23" i="13" s="1"/>
  <c r="T23" i="10"/>
  <c r="T23" i="13" s="1"/>
  <c r="S23" i="10"/>
  <c r="S23" i="13" s="1"/>
  <c r="R23" i="10"/>
  <c r="R23" i="13" s="1"/>
  <c r="Y5" i="10"/>
  <c r="X5" i="10"/>
  <c r="W5" i="10"/>
  <c r="V5" i="10"/>
  <c r="U5" i="10"/>
  <c r="T5" i="10"/>
  <c r="R5" i="10"/>
  <c r="O52" i="10"/>
  <c r="O52" i="13" s="1"/>
  <c r="M52" i="10"/>
  <c r="M52" i="13" s="1"/>
  <c r="J52" i="10"/>
  <c r="J52" i="13" s="1"/>
  <c r="O38" i="10"/>
  <c r="O38" i="13" s="1"/>
  <c r="M38" i="10"/>
  <c r="M38" i="13" s="1"/>
  <c r="J38" i="10"/>
  <c r="J38" i="13" s="1"/>
  <c r="O23" i="10"/>
  <c r="O23" i="13" s="1"/>
  <c r="M23" i="10"/>
  <c r="M23" i="13" s="1"/>
  <c r="J23" i="10"/>
  <c r="J23" i="13" s="1"/>
  <c r="O5" i="10"/>
  <c r="M5" i="10"/>
  <c r="J5" i="10"/>
  <c r="I4" i="10"/>
  <c r="I4" i="13" s="1"/>
  <c r="AA53" i="13"/>
  <c r="AA39" i="13"/>
  <c r="AA24" i="13"/>
  <c r="B7" i="2"/>
  <c r="C7" i="2"/>
  <c r="D7" i="2"/>
  <c r="B8" i="2"/>
  <c r="C8" i="2"/>
  <c r="D8" i="2"/>
  <c r="D9" i="2"/>
  <c r="B10" i="2"/>
  <c r="C10" i="2"/>
  <c r="D10" i="2"/>
  <c r="B11" i="2"/>
  <c r="C11" i="2"/>
  <c r="D11" i="2"/>
  <c r="B12" i="2"/>
  <c r="C12" i="2"/>
  <c r="D12" i="2"/>
  <c r="B13" i="2"/>
  <c r="C13" i="2"/>
  <c r="D13" i="2"/>
  <c r="C14" i="2"/>
  <c r="B15" i="2"/>
  <c r="C15" i="2"/>
  <c r="D15" i="2"/>
  <c r="B16" i="2"/>
  <c r="C16" i="2"/>
  <c r="D16" i="2"/>
  <c r="C17" i="2"/>
  <c r="D17" i="2"/>
  <c r="B18" i="2"/>
  <c r="C18" i="2"/>
  <c r="D18" i="2"/>
  <c r="B19" i="2"/>
  <c r="C19" i="2"/>
  <c r="D19" i="2"/>
  <c r="B20" i="2"/>
  <c r="C20" i="2"/>
  <c r="D20" i="2"/>
  <c r="B21" i="2"/>
  <c r="C21" i="2"/>
  <c r="D21" i="2"/>
  <c r="B22" i="2"/>
  <c r="C22" i="2"/>
  <c r="D22" i="2"/>
  <c r="AA4" i="10" l="1"/>
  <c r="Z23" i="13"/>
  <c r="Z52" i="13"/>
  <c r="Z38" i="13"/>
  <c r="Z4" i="10"/>
  <c r="R4" i="10"/>
  <c r="R4" i="13" s="1"/>
  <c r="R5" i="13"/>
  <c r="U4" i="10"/>
  <c r="U4" i="13" s="1"/>
  <c r="U5" i="13"/>
  <c r="M4" i="10"/>
  <c r="M4" i="13" s="1"/>
  <c r="M5" i="13"/>
  <c r="X4" i="10"/>
  <c r="X4" i="13" s="1"/>
  <c r="X5" i="13"/>
  <c r="O4" i="10"/>
  <c r="O4" i="13" s="1"/>
  <c r="O5" i="13"/>
  <c r="Y4" i="10"/>
  <c r="Y4" i="13" s="1"/>
  <c r="Y5" i="13"/>
  <c r="W23" i="13"/>
  <c r="W38" i="13"/>
  <c r="W52" i="13"/>
  <c r="V4" i="10"/>
  <c r="V4" i="13" s="1"/>
  <c r="V5" i="13"/>
  <c r="T4" i="10"/>
  <c r="T4" i="13" s="1"/>
  <c r="T5" i="13"/>
  <c r="J4" i="10"/>
  <c r="J4" i="13" s="1"/>
  <c r="J5" i="13"/>
  <c r="W4" i="10"/>
  <c r="AA9" i="13"/>
  <c r="AA13" i="13"/>
  <c r="AA8" i="13"/>
  <c r="AA10" i="13"/>
  <c r="AA12" i="13"/>
  <c r="AA14" i="13"/>
  <c r="AA16" i="13"/>
  <c r="AA18" i="13"/>
  <c r="AA20" i="13"/>
  <c r="AA22" i="13"/>
  <c r="AA25" i="13"/>
  <c r="AA27" i="13"/>
  <c r="AA29" i="13"/>
  <c r="AA31" i="13"/>
  <c r="AA33" i="13"/>
  <c r="AA35" i="13"/>
  <c r="AA37" i="13"/>
  <c r="AA40" i="13"/>
  <c r="AA42" i="13"/>
  <c r="AA44" i="13"/>
  <c r="AA46" i="13"/>
  <c r="AA48" i="13"/>
  <c r="AA50" i="13"/>
  <c r="AA55" i="13"/>
  <c r="AA57" i="13"/>
  <c r="AA59" i="13"/>
  <c r="AA61" i="13"/>
  <c r="AA63" i="13"/>
  <c r="AA5" i="1"/>
  <c r="AA7" i="13"/>
  <c r="AA11" i="13"/>
  <c r="AA15" i="13"/>
  <c r="AA17" i="13"/>
  <c r="AA19" i="13"/>
  <c r="AA21" i="13"/>
  <c r="AA26" i="13"/>
  <c r="AA28" i="13"/>
  <c r="AA30" i="13"/>
  <c r="AA32" i="13"/>
  <c r="AA34" i="13"/>
  <c r="AA36" i="13"/>
  <c r="AA41" i="13"/>
  <c r="AA43" i="13"/>
  <c r="AA45" i="13"/>
  <c r="AA47" i="13"/>
  <c r="AA49" i="13"/>
  <c r="AA51" i="13"/>
  <c r="AA52" i="1"/>
  <c r="AA54" i="13"/>
  <c r="AA56" i="13"/>
  <c r="AA58" i="13"/>
  <c r="AA60" i="13"/>
  <c r="AA62" i="13"/>
  <c r="AA23" i="1"/>
  <c r="AA38" i="1"/>
  <c r="W9" i="4"/>
  <c r="W9" i="5"/>
  <c r="W9" i="9"/>
  <c r="N4" i="18"/>
  <c r="D18" i="22"/>
  <c r="D18" i="25"/>
  <c r="D19" i="22"/>
  <c r="D19" i="25"/>
  <c r="D20" i="22"/>
  <c r="D20" i="25"/>
  <c r="D21" i="22"/>
  <c r="D21" i="25"/>
  <c r="B7" i="22"/>
  <c r="B8" i="22"/>
  <c r="B10" i="22"/>
  <c r="B11" i="22"/>
  <c r="B12" i="22"/>
  <c r="B12" i="26" s="1"/>
  <c r="B14" i="22"/>
  <c r="B16" i="22"/>
  <c r="B17" i="22"/>
  <c r="B18" i="22"/>
  <c r="B19" i="22"/>
  <c r="B20" i="22"/>
  <c r="B21" i="22"/>
  <c r="B22" i="22"/>
  <c r="C7" i="22"/>
  <c r="C8" i="22"/>
  <c r="C10" i="22"/>
  <c r="C11" i="22"/>
  <c r="C12" i="22"/>
  <c r="C13" i="22"/>
  <c r="C14" i="22"/>
  <c r="C15" i="22"/>
  <c r="C16" i="22"/>
  <c r="C17" i="22"/>
  <c r="C18" i="22"/>
  <c r="C19" i="22"/>
  <c r="C20" i="22"/>
  <c r="C21" i="22"/>
  <c r="D7" i="22"/>
  <c r="D8" i="22"/>
  <c r="D10" i="22"/>
  <c r="D11" i="22"/>
  <c r="D12" i="22"/>
  <c r="D13" i="22"/>
  <c r="D14" i="22"/>
  <c r="D16" i="22"/>
  <c r="D17" i="22"/>
  <c r="D22" i="22"/>
  <c r="I7" i="22"/>
  <c r="I8" i="22"/>
  <c r="I10" i="22"/>
  <c r="I11" i="22"/>
  <c r="I12" i="22"/>
  <c r="I13" i="22"/>
  <c r="I14" i="22"/>
  <c r="I15" i="22"/>
  <c r="I16" i="22"/>
  <c r="I17" i="22"/>
  <c r="I18" i="22"/>
  <c r="I19" i="22"/>
  <c r="I20" i="22"/>
  <c r="I21" i="22"/>
  <c r="I22" i="22"/>
  <c r="K7" i="22"/>
  <c r="K8" i="22"/>
  <c r="K10" i="22"/>
  <c r="K11" i="22"/>
  <c r="K13" i="22"/>
  <c r="K14" i="22"/>
  <c r="K15" i="22"/>
  <c r="K16" i="22"/>
  <c r="K17" i="22"/>
  <c r="K18" i="22"/>
  <c r="K19" i="22"/>
  <c r="K20" i="22"/>
  <c r="K21" i="22"/>
  <c r="L7" i="22"/>
  <c r="L8" i="22"/>
  <c r="L10" i="22"/>
  <c r="L11" i="22"/>
  <c r="L13" i="22"/>
  <c r="L14" i="22"/>
  <c r="L15" i="22"/>
  <c r="L16" i="22"/>
  <c r="L17" i="22"/>
  <c r="L18" i="22"/>
  <c r="L19" i="22"/>
  <c r="L20" i="22"/>
  <c r="L21" i="22"/>
  <c r="N7" i="22"/>
  <c r="N8" i="22"/>
  <c r="N9" i="22"/>
  <c r="N10" i="22"/>
  <c r="N11" i="22"/>
  <c r="N12" i="22"/>
  <c r="N13" i="22"/>
  <c r="N14" i="22"/>
  <c r="N15" i="22"/>
  <c r="N16" i="22"/>
  <c r="N17" i="22"/>
  <c r="N18" i="22"/>
  <c r="N19" i="22"/>
  <c r="N20" i="22"/>
  <c r="N21" i="22"/>
  <c r="N22" i="22"/>
  <c r="B7" i="5"/>
  <c r="B8" i="5"/>
  <c r="B10" i="5"/>
  <c r="B11" i="5"/>
  <c r="B12" i="5"/>
  <c r="B13" i="5"/>
  <c r="B14" i="5"/>
  <c r="B15" i="5"/>
  <c r="B16" i="5"/>
  <c r="B17" i="5"/>
  <c r="B18" i="5"/>
  <c r="B19" i="5"/>
  <c r="B20" i="5"/>
  <c r="B21" i="5"/>
  <c r="B22" i="5"/>
  <c r="C7" i="5"/>
  <c r="C8" i="5"/>
  <c r="C10" i="5"/>
  <c r="C11" i="5"/>
  <c r="C12" i="5"/>
  <c r="C13" i="5"/>
  <c r="C14" i="5"/>
  <c r="C15" i="5"/>
  <c r="C16" i="5"/>
  <c r="C17" i="5"/>
  <c r="C18" i="5"/>
  <c r="C19" i="5"/>
  <c r="C20" i="5"/>
  <c r="C21" i="5"/>
  <c r="C22" i="5"/>
  <c r="D7" i="5"/>
  <c r="D8" i="5"/>
  <c r="D9" i="5"/>
  <c r="D10" i="5"/>
  <c r="D11" i="5"/>
  <c r="D12" i="5"/>
  <c r="D13" i="5"/>
  <c r="D14" i="5"/>
  <c r="D15" i="5"/>
  <c r="D16" i="5"/>
  <c r="D17" i="5"/>
  <c r="D18" i="5"/>
  <c r="D19" i="5"/>
  <c r="D20" i="5"/>
  <c r="D21" i="5"/>
  <c r="D22" i="5"/>
  <c r="I7" i="5"/>
  <c r="I8" i="5"/>
  <c r="I10" i="5"/>
  <c r="I11" i="5"/>
  <c r="I12" i="5"/>
  <c r="I13" i="5"/>
  <c r="I14" i="5"/>
  <c r="I15" i="5"/>
  <c r="I16" i="5"/>
  <c r="I17" i="5"/>
  <c r="I18" i="5"/>
  <c r="I19" i="5"/>
  <c r="I20" i="5"/>
  <c r="I21" i="5"/>
  <c r="I22" i="5"/>
  <c r="K7" i="5"/>
  <c r="K10" i="5"/>
  <c r="K11" i="5"/>
  <c r="K12" i="5"/>
  <c r="K13" i="5"/>
  <c r="K15" i="5"/>
  <c r="K16" i="5"/>
  <c r="K17" i="5"/>
  <c r="K18" i="5"/>
  <c r="K19" i="5"/>
  <c r="K20" i="5"/>
  <c r="K21" i="5"/>
  <c r="K22" i="5"/>
  <c r="L7" i="5"/>
  <c r="L10" i="5"/>
  <c r="L11" i="5"/>
  <c r="L12" i="5"/>
  <c r="L13" i="5"/>
  <c r="L14" i="5"/>
  <c r="L15" i="5"/>
  <c r="L16" i="5"/>
  <c r="L17" i="5"/>
  <c r="L18" i="5"/>
  <c r="L19" i="5"/>
  <c r="L20" i="5"/>
  <c r="L21" i="5"/>
  <c r="L22" i="5"/>
  <c r="K4" i="18"/>
  <c r="B4" i="25"/>
  <c r="C4" i="25"/>
  <c r="D4" i="25"/>
  <c r="I4" i="25"/>
  <c r="I4" i="26" s="1"/>
  <c r="K4" i="25"/>
  <c r="L4" i="25"/>
  <c r="N4" i="25"/>
  <c r="B7" i="25"/>
  <c r="B8" i="25"/>
  <c r="B10" i="25"/>
  <c r="B11" i="25"/>
  <c r="B13" i="25"/>
  <c r="B13" i="26" s="1"/>
  <c r="B14" i="25"/>
  <c r="B15" i="25"/>
  <c r="B15" i="26" s="1"/>
  <c r="B16" i="25"/>
  <c r="B17" i="25"/>
  <c r="B18" i="25"/>
  <c r="B19" i="25"/>
  <c r="B20" i="25"/>
  <c r="B21" i="25"/>
  <c r="B22" i="25"/>
  <c r="C7" i="25"/>
  <c r="C8" i="25"/>
  <c r="C10" i="25"/>
  <c r="C11" i="25"/>
  <c r="C12" i="25"/>
  <c r="C13" i="25"/>
  <c r="C14" i="25"/>
  <c r="C15" i="25"/>
  <c r="C16" i="25"/>
  <c r="C17" i="25"/>
  <c r="C18" i="25"/>
  <c r="C19" i="25"/>
  <c r="C20" i="25"/>
  <c r="C21" i="25"/>
  <c r="C22" i="25"/>
  <c r="C22" i="26" s="1"/>
  <c r="D7" i="25"/>
  <c r="D8" i="25"/>
  <c r="D9" i="25"/>
  <c r="D9" i="26" s="1"/>
  <c r="D10" i="25"/>
  <c r="D11" i="25"/>
  <c r="D12" i="25"/>
  <c r="D13" i="25"/>
  <c r="D14" i="25"/>
  <c r="D15" i="25"/>
  <c r="D15" i="26" s="1"/>
  <c r="D16" i="25"/>
  <c r="D17" i="25"/>
  <c r="D22" i="25"/>
  <c r="I7" i="25"/>
  <c r="I8" i="25"/>
  <c r="I10" i="25"/>
  <c r="I11" i="25"/>
  <c r="I12" i="25"/>
  <c r="I13" i="25"/>
  <c r="I14" i="25"/>
  <c r="I15" i="25"/>
  <c r="I16" i="25"/>
  <c r="I17" i="25"/>
  <c r="I18" i="25"/>
  <c r="I19" i="25"/>
  <c r="I20" i="25"/>
  <c r="I21" i="25"/>
  <c r="I22" i="25"/>
  <c r="K7" i="25"/>
  <c r="K8" i="25"/>
  <c r="K10" i="25"/>
  <c r="K11" i="25"/>
  <c r="K12" i="25"/>
  <c r="K12" i="26" s="1"/>
  <c r="K13" i="25"/>
  <c r="K14" i="25"/>
  <c r="K15" i="25"/>
  <c r="K16" i="25"/>
  <c r="K17" i="25"/>
  <c r="K18" i="25"/>
  <c r="K19" i="25"/>
  <c r="K20" i="25"/>
  <c r="K21" i="25"/>
  <c r="K22" i="25"/>
  <c r="K22" i="26" s="1"/>
  <c r="L7" i="25"/>
  <c r="L8" i="25"/>
  <c r="L10" i="25"/>
  <c r="L11" i="25"/>
  <c r="L12" i="25"/>
  <c r="L12" i="26" s="1"/>
  <c r="L13" i="25"/>
  <c r="L14" i="25"/>
  <c r="L15" i="25"/>
  <c r="L16" i="25"/>
  <c r="L17" i="25"/>
  <c r="L18" i="25"/>
  <c r="L19" i="25"/>
  <c r="L20" i="25"/>
  <c r="L21" i="25"/>
  <c r="L22" i="25"/>
  <c r="L22" i="26" s="1"/>
  <c r="N7" i="25"/>
  <c r="N8" i="25"/>
  <c r="N9" i="25"/>
  <c r="N10" i="25"/>
  <c r="N11" i="25"/>
  <c r="N12" i="25"/>
  <c r="N13" i="25"/>
  <c r="N14" i="25"/>
  <c r="N15" i="25"/>
  <c r="N16" i="25"/>
  <c r="N17" i="25"/>
  <c r="N18" i="25"/>
  <c r="N19" i="25"/>
  <c r="N20" i="25"/>
  <c r="N21" i="25"/>
  <c r="N22" i="25"/>
  <c r="B4" i="22"/>
  <c r="C4" i="22"/>
  <c r="D4" i="22"/>
  <c r="K4" i="22"/>
  <c r="L4" i="22"/>
  <c r="N4" i="22"/>
  <c r="D4" i="18"/>
  <c r="B4" i="10"/>
  <c r="C4" i="10"/>
  <c r="D4" i="10"/>
  <c r="S9" i="10"/>
  <c r="B7" i="10"/>
  <c r="B8" i="10"/>
  <c r="B10" i="10"/>
  <c r="B11" i="10"/>
  <c r="B12" i="10"/>
  <c r="B13" i="10"/>
  <c r="B14" i="10"/>
  <c r="B15" i="10"/>
  <c r="B16" i="10"/>
  <c r="B17" i="10"/>
  <c r="B18" i="10"/>
  <c r="B19" i="10"/>
  <c r="B20" i="10"/>
  <c r="B21" i="10"/>
  <c r="B22" i="10"/>
  <c r="C7" i="10"/>
  <c r="C8" i="10"/>
  <c r="C10" i="10"/>
  <c r="C11" i="10"/>
  <c r="C12" i="10"/>
  <c r="C13" i="10"/>
  <c r="C14" i="10"/>
  <c r="C15" i="10"/>
  <c r="C16" i="10"/>
  <c r="C17" i="10"/>
  <c r="C18" i="10"/>
  <c r="C19" i="10"/>
  <c r="C20" i="10"/>
  <c r="C21" i="10"/>
  <c r="C22" i="10"/>
  <c r="D7" i="10"/>
  <c r="D8" i="10"/>
  <c r="D9" i="10"/>
  <c r="D10" i="10"/>
  <c r="D11" i="10"/>
  <c r="D12" i="10"/>
  <c r="D13" i="10"/>
  <c r="D14" i="10"/>
  <c r="D15" i="10"/>
  <c r="D16" i="10"/>
  <c r="D17" i="10"/>
  <c r="D18" i="10"/>
  <c r="D19" i="10"/>
  <c r="D20" i="10"/>
  <c r="D21" i="10"/>
  <c r="D22" i="10"/>
  <c r="I7" i="10"/>
  <c r="I8" i="10"/>
  <c r="I10" i="10"/>
  <c r="I11" i="10"/>
  <c r="I12" i="10"/>
  <c r="I13" i="10"/>
  <c r="I14" i="10"/>
  <c r="I15" i="10"/>
  <c r="I16" i="10"/>
  <c r="I17" i="10"/>
  <c r="I18" i="10"/>
  <c r="I19" i="10"/>
  <c r="I20" i="10"/>
  <c r="I21" i="10"/>
  <c r="I22" i="10"/>
  <c r="K7" i="10"/>
  <c r="K8" i="10"/>
  <c r="K8" i="13" s="1"/>
  <c r="K10" i="10"/>
  <c r="K11" i="10"/>
  <c r="K12" i="10"/>
  <c r="K13" i="10"/>
  <c r="K14" i="10"/>
  <c r="K14" i="13" s="1"/>
  <c r="K15" i="10"/>
  <c r="K16" i="10"/>
  <c r="K17" i="10"/>
  <c r="K18" i="10"/>
  <c r="K19" i="10"/>
  <c r="K20" i="10"/>
  <c r="K21" i="10"/>
  <c r="K22" i="10"/>
  <c r="L7" i="10"/>
  <c r="L8" i="10"/>
  <c r="L8" i="13" s="1"/>
  <c r="L10" i="10"/>
  <c r="L11" i="10"/>
  <c r="L12" i="10"/>
  <c r="L13" i="10"/>
  <c r="L14" i="10"/>
  <c r="L15" i="10"/>
  <c r="L16" i="10"/>
  <c r="L17" i="10"/>
  <c r="L18" i="10"/>
  <c r="L19" i="10"/>
  <c r="L20" i="10"/>
  <c r="L21" i="10"/>
  <c r="L22" i="10"/>
  <c r="N7" i="10"/>
  <c r="N8" i="10"/>
  <c r="N9" i="10"/>
  <c r="N10" i="10"/>
  <c r="N11" i="10"/>
  <c r="N12" i="10"/>
  <c r="N13" i="10"/>
  <c r="N14" i="10"/>
  <c r="N15" i="10"/>
  <c r="N16" i="10"/>
  <c r="N17" i="10"/>
  <c r="N18" i="10"/>
  <c r="N19" i="10"/>
  <c r="N20" i="10"/>
  <c r="N21" i="10"/>
  <c r="N22" i="10"/>
  <c r="B4" i="9"/>
  <c r="C4" i="9"/>
  <c r="D4" i="9"/>
  <c r="B7" i="9"/>
  <c r="B8" i="9"/>
  <c r="B11" i="9"/>
  <c r="B13" i="9"/>
  <c r="B15" i="9"/>
  <c r="B16" i="9"/>
  <c r="B18" i="9"/>
  <c r="B19" i="9"/>
  <c r="B20" i="9"/>
  <c r="B21" i="9"/>
  <c r="B22" i="9"/>
  <c r="C7" i="9"/>
  <c r="C8" i="9"/>
  <c r="C10" i="9"/>
  <c r="C11" i="9"/>
  <c r="C12" i="9"/>
  <c r="C13" i="9"/>
  <c r="C14" i="9"/>
  <c r="C15" i="9"/>
  <c r="C16" i="9"/>
  <c r="C17" i="9"/>
  <c r="C18" i="9"/>
  <c r="C19" i="9"/>
  <c r="C20" i="9"/>
  <c r="C21" i="9"/>
  <c r="C22" i="9"/>
  <c r="D7" i="9"/>
  <c r="D8" i="9"/>
  <c r="D10" i="9"/>
  <c r="D11" i="9"/>
  <c r="D12" i="9"/>
  <c r="D13" i="9"/>
  <c r="D14" i="9"/>
  <c r="D15" i="9"/>
  <c r="D16" i="9"/>
  <c r="D17" i="9"/>
  <c r="D18" i="9"/>
  <c r="D19" i="9"/>
  <c r="D20" i="9"/>
  <c r="D21" i="9"/>
  <c r="D22" i="9"/>
  <c r="B4" i="5"/>
  <c r="C4" i="5"/>
  <c r="D4" i="5"/>
  <c r="N7" i="5"/>
  <c r="N8" i="5"/>
  <c r="N9" i="5"/>
  <c r="N10" i="5"/>
  <c r="N11" i="5"/>
  <c r="N12" i="5"/>
  <c r="N13" i="5"/>
  <c r="N14" i="5"/>
  <c r="N15" i="5"/>
  <c r="N16" i="5"/>
  <c r="N17" i="5"/>
  <c r="N18" i="5"/>
  <c r="N19" i="5"/>
  <c r="N20" i="5"/>
  <c r="N21" i="5"/>
  <c r="N22" i="5"/>
  <c r="B4" i="4"/>
  <c r="C4" i="4"/>
  <c r="D4" i="4"/>
  <c r="B7" i="4"/>
  <c r="B8" i="4"/>
  <c r="B10" i="4"/>
  <c r="B11" i="4"/>
  <c r="B12" i="4"/>
  <c r="B13" i="4"/>
  <c r="B15" i="4"/>
  <c r="B16" i="4"/>
  <c r="B18" i="4"/>
  <c r="B19" i="4"/>
  <c r="B20" i="4"/>
  <c r="B21" i="4"/>
  <c r="B22" i="4"/>
  <c r="C7" i="4"/>
  <c r="C8" i="4"/>
  <c r="C10" i="4"/>
  <c r="C11" i="4"/>
  <c r="C12" i="4"/>
  <c r="C13" i="4"/>
  <c r="C14" i="4"/>
  <c r="C15" i="4"/>
  <c r="C16" i="4"/>
  <c r="C18" i="4"/>
  <c r="C19" i="4"/>
  <c r="C20" i="4"/>
  <c r="C21" i="4"/>
  <c r="C22" i="4"/>
  <c r="D7" i="4"/>
  <c r="D8" i="4"/>
  <c r="D9" i="4"/>
  <c r="D10" i="4"/>
  <c r="D11" i="4"/>
  <c r="D12" i="4"/>
  <c r="D13" i="4"/>
  <c r="D14" i="4"/>
  <c r="D15" i="4"/>
  <c r="D16" i="4"/>
  <c r="D17" i="4"/>
  <c r="D18" i="4"/>
  <c r="D19" i="4"/>
  <c r="D20" i="4"/>
  <c r="D21" i="4"/>
  <c r="D22" i="4"/>
  <c r="B4" i="3"/>
  <c r="C4" i="3"/>
  <c r="D4" i="3"/>
  <c r="B7" i="3"/>
  <c r="B5" i="3" s="1"/>
  <c r="C7" i="3"/>
  <c r="C5" i="3" s="1"/>
  <c r="D7" i="3"/>
  <c r="D11" i="3"/>
  <c r="D13" i="3"/>
  <c r="D14" i="3"/>
  <c r="D15" i="3"/>
  <c r="D16" i="3"/>
  <c r="D17" i="3"/>
  <c r="D18" i="3"/>
  <c r="D19" i="3"/>
  <c r="D20" i="3"/>
  <c r="D21" i="3"/>
  <c r="D22" i="3"/>
  <c r="B4" i="2"/>
  <c r="C4" i="2"/>
  <c r="D4" i="2"/>
  <c r="B7" i="1"/>
  <c r="B8" i="1"/>
  <c r="B10" i="1"/>
  <c r="B11" i="1"/>
  <c r="B12" i="1"/>
  <c r="B13" i="1"/>
  <c r="B15" i="1"/>
  <c r="B16" i="1"/>
  <c r="B18" i="1"/>
  <c r="B19" i="1"/>
  <c r="B20" i="1"/>
  <c r="B21" i="1"/>
  <c r="B22" i="1"/>
  <c r="C7" i="1"/>
  <c r="C8" i="1"/>
  <c r="C10" i="1"/>
  <c r="C11" i="1"/>
  <c r="C12" i="1"/>
  <c r="C13" i="1"/>
  <c r="C14" i="1"/>
  <c r="C15" i="1"/>
  <c r="C16" i="1"/>
  <c r="C17" i="1"/>
  <c r="C18" i="1"/>
  <c r="C19" i="1"/>
  <c r="C20" i="1"/>
  <c r="C21" i="1"/>
  <c r="C22" i="1"/>
  <c r="D7" i="1"/>
  <c r="D8" i="1"/>
  <c r="D9" i="1"/>
  <c r="D10" i="1"/>
  <c r="D11" i="1"/>
  <c r="D12" i="1"/>
  <c r="D13" i="1"/>
  <c r="D14" i="1"/>
  <c r="D15" i="1"/>
  <c r="D16" i="1"/>
  <c r="D17" i="1"/>
  <c r="D18" i="1"/>
  <c r="D19" i="1"/>
  <c r="D20" i="1"/>
  <c r="D21" i="1"/>
  <c r="D22" i="1"/>
  <c r="D20" i="26" l="1"/>
  <c r="L19" i="13"/>
  <c r="L11" i="13"/>
  <c r="K15" i="26"/>
  <c r="N18" i="26"/>
  <c r="N10" i="26"/>
  <c r="C20" i="26"/>
  <c r="C12" i="26"/>
  <c r="B19" i="26"/>
  <c r="B8" i="26"/>
  <c r="I21" i="26"/>
  <c r="Z4" i="13"/>
  <c r="N10" i="16" s="1"/>
  <c r="I13" i="26"/>
  <c r="N19" i="13"/>
  <c r="N11" i="13"/>
  <c r="AA29" i="16"/>
  <c r="Y29" i="16"/>
  <c r="D4" i="26"/>
  <c r="N19" i="26"/>
  <c r="N11" i="26"/>
  <c r="L18" i="26"/>
  <c r="D16" i="26"/>
  <c r="C21" i="26"/>
  <c r="C13" i="26"/>
  <c r="B20" i="26"/>
  <c r="B10" i="26"/>
  <c r="B4" i="26"/>
  <c r="K17" i="13"/>
  <c r="N18" i="13"/>
  <c r="N10" i="13"/>
  <c r="B15" i="13"/>
  <c r="L17" i="26"/>
  <c r="I20" i="26"/>
  <c r="N17" i="26"/>
  <c r="N9" i="26"/>
  <c r="L16" i="26"/>
  <c r="K21" i="26"/>
  <c r="K13" i="26"/>
  <c r="C19" i="26"/>
  <c r="C11" i="26"/>
  <c r="B18" i="26"/>
  <c r="B7" i="26"/>
  <c r="L8" i="26"/>
  <c r="D19" i="26"/>
  <c r="L7" i="26"/>
  <c r="K14" i="26"/>
  <c r="I12" i="26"/>
  <c r="N16" i="26"/>
  <c r="N8" i="26"/>
  <c r="C18" i="26"/>
  <c r="C10" i="26"/>
  <c r="B17" i="26"/>
  <c r="N22" i="26"/>
  <c r="K7" i="26"/>
  <c r="I15" i="26"/>
  <c r="D22" i="26"/>
  <c r="C15" i="26"/>
  <c r="B22" i="26"/>
  <c r="B21" i="13"/>
  <c r="C14" i="13"/>
  <c r="C8" i="13"/>
  <c r="N16" i="13"/>
  <c r="N8" i="13"/>
  <c r="I22" i="13"/>
  <c r="I14" i="13"/>
  <c r="C17" i="13"/>
  <c r="L18" i="13"/>
  <c r="L10" i="13"/>
  <c r="K16" i="13"/>
  <c r="C15" i="13"/>
  <c r="B22" i="13"/>
  <c r="L17" i="13"/>
  <c r="L7" i="13"/>
  <c r="K15" i="13"/>
  <c r="L16" i="13"/>
  <c r="K10" i="13"/>
  <c r="I16" i="13"/>
  <c r="I7" i="13"/>
  <c r="B14" i="13"/>
  <c r="C4" i="13"/>
  <c r="C16" i="13"/>
  <c r="B13" i="13"/>
  <c r="D10" i="13"/>
  <c r="D18" i="13"/>
  <c r="C18" i="13"/>
  <c r="B4" i="13"/>
  <c r="N7" i="13"/>
  <c r="I13" i="13"/>
  <c r="D16" i="13"/>
  <c r="B12" i="13"/>
  <c r="N14" i="13"/>
  <c r="I12" i="13"/>
  <c r="I19" i="26"/>
  <c r="D13" i="26"/>
  <c r="D18" i="26"/>
  <c r="D20" i="13"/>
  <c r="D12" i="13"/>
  <c r="C20" i="13"/>
  <c r="C11" i="13"/>
  <c r="B18" i="13"/>
  <c r="L21" i="13"/>
  <c r="L13" i="13"/>
  <c r="K19" i="13"/>
  <c r="N21" i="26"/>
  <c r="N13" i="26"/>
  <c r="L20" i="26"/>
  <c r="L11" i="26"/>
  <c r="K17" i="26"/>
  <c r="D8" i="26"/>
  <c r="D19" i="13"/>
  <c r="D11" i="13"/>
  <c r="C19" i="13"/>
  <c r="C10" i="13"/>
  <c r="B16" i="13"/>
  <c r="D4" i="13"/>
  <c r="N17" i="13"/>
  <c r="N9" i="13"/>
  <c r="L20" i="13"/>
  <c r="L12" i="13"/>
  <c r="K18" i="13"/>
  <c r="K7" i="13"/>
  <c r="I15" i="13"/>
  <c r="N20" i="26"/>
  <c r="N12" i="26"/>
  <c r="L19" i="26"/>
  <c r="L10" i="26"/>
  <c r="K16" i="26"/>
  <c r="I22" i="26"/>
  <c r="I14" i="26"/>
  <c r="D17" i="26"/>
  <c r="D7" i="26"/>
  <c r="C14" i="26"/>
  <c r="B21" i="26"/>
  <c r="B11" i="26"/>
  <c r="D17" i="13"/>
  <c r="D9" i="13"/>
  <c r="N15" i="13"/>
  <c r="I21" i="13"/>
  <c r="D14" i="26"/>
  <c r="D8" i="13"/>
  <c r="N22" i="13"/>
  <c r="I20" i="13"/>
  <c r="I11" i="26"/>
  <c r="B11" i="13"/>
  <c r="N13" i="13"/>
  <c r="K13" i="13"/>
  <c r="I11" i="13"/>
  <c r="B17" i="13"/>
  <c r="L15" i="26"/>
  <c r="K11" i="26"/>
  <c r="I10" i="26"/>
  <c r="D12" i="26"/>
  <c r="D22" i="13"/>
  <c r="D14" i="13"/>
  <c r="C22" i="13"/>
  <c r="C13" i="13"/>
  <c r="B20" i="13"/>
  <c r="B10" i="13"/>
  <c r="N20" i="13"/>
  <c r="N12" i="13"/>
  <c r="S5" i="10"/>
  <c r="S9" i="13"/>
  <c r="K4" i="26"/>
  <c r="L15" i="13"/>
  <c r="K21" i="13"/>
  <c r="K12" i="13"/>
  <c r="I18" i="13"/>
  <c r="I10" i="13"/>
  <c r="N15" i="26"/>
  <c r="N7" i="26"/>
  <c r="L14" i="26"/>
  <c r="K19" i="26"/>
  <c r="K10" i="26"/>
  <c r="I17" i="26"/>
  <c r="I8" i="26"/>
  <c r="D11" i="26"/>
  <c r="C17" i="26"/>
  <c r="C8" i="26"/>
  <c r="B16" i="26"/>
  <c r="D21" i="26"/>
  <c r="W5" i="9"/>
  <c r="D15" i="13"/>
  <c r="N21" i="13"/>
  <c r="K22" i="13"/>
  <c r="I19" i="13"/>
  <c r="K20" i="26"/>
  <c r="I18" i="26"/>
  <c r="N4" i="26"/>
  <c r="D21" i="13"/>
  <c r="D13" i="13"/>
  <c r="C21" i="13"/>
  <c r="C12" i="13"/>
  <c r="B19" i="13"/>
  <c r="B8" i="13"/>
  <c r="C4" i="26"/>
  <c r="L22" i="13"/>
  <c r="L14" i="13"/>
  <c r="K20" i="13"/>
  <c r="K11" i="13"/>
  <c r="I17" i="13"/>
  <c r="I8" i="13"/>
  <c r="N14" i="26"/>
  <c r="L21" i="26"/>
  <c r="L13" i="26"/>
  <c r="K18" i="26"/>
  <c r="K8" i="26"/>
  <c r="I16" i="26"/>
  <c r="I7" i="26"/>
  <c r="D10" i="26"/>
  <c r="C16" i="26"/>
  <c r="C7" i="26"/>
  <c r="B14" i="26"/>
  <c r="W5" i="5"/>
  <c r="D5" i="25"/>
  <c r="L5" i="25"/>
  <c r="C5" i="25"/>
  <c r="N5" i="25"/>
  <c r="K5" i="25"/>
  <c r="I5" i="25"/>
  <c r="B5" i="25"/>
  <c r="L5" i="22"/>
  <c r="I5" i="22"/>
  <c r="D5" i="22"/>
  <c r="C5" i="22"/>
  <c r="C5" i="26" s="1"/>
  <c r="N5" i="22"/>
  <c r="N5" i="26" s="1"/>
  <c r="K5" i="22"/>
  <c r="K5" i="26" s="1"/>
  <c r="B5" i="22"/>
  <c r="AA4" i="1"/>
  <c r="AA23" i="13"/>
  <c r="AA5" i="13"/>
  <c r="AA38" i="13"/>
  <c r="AA52" i="13"/>
  <c r="X57" i="16"/>
  <c r="X55" i="16"/>
  <c r="X53" i="16"/>
  <c r="X51" i="16"/>
  <c r="X49" i="16"/>
  <c r="X47" i="16"/>
  <c r="X42" i="16"/>
  <c r="X40" i="16"/>
  <c r="X38" i="16"/>
  <c r="X36" i="16"/>
  <c r="X34" i="16"/>
  <c r="X32" i="16"/>
  <c r="X27" i="16"/>
  <c r="X25" i="16"/>
  <c r="X23" i="16"/>
  <c r="X21" i="16"/>
  <c r="X17" i="16"/>
  <c r="X13" i="16"/>
  <c r="B5" i="4"/>
  <c r="B7" i="13"/>
  <c r="D7" i="13"/>
  <c r="D5" i="4"/>
  <c r="C7" i="13"/>
  <c r="C5" i="4"/>
  <c r="W9" i="13"/>
  <c r="W5" i="4"/>
  <c r="D5" i="3"/>
  <c r="L5" i="5"/>
  <c r="I5" i="5"/>
  <c r="D5" i="5"/>
  <c r="B5" i="5"/>
  <c r="N5" i="5"/>
  <c r="K5" i="5"/>
  <c r="C5" i="5"/>
  <c r="C5" i="9"/>
  <c r="D5" i="9"/>
  <c r="B5" i="9"/>
  <c r="L5" i="10"/>
  <c r="I5" i="10"/>
  <c r="D5" i="10"/>
  <c r="B5" i="10"/>
  <c r="K5" i="10"/>
  <c r="N5" i="10"/>
  <c r="C5" i="10"/>
  <c r="L4" i="18"/>
  <c r="L4" i="26" s="1"/>
  <c r="Y44" i="16" l="1"/>
  <c r="AA58" i="16"/>
  <c r="AA44" i="16"/>
  <c r="W29" i="16"/>
  <c r="Y58" i="16"/>
  <c r="Y10" i="16"/>
  <c r="L5" i="26"/>
  <c r="N5" i="13"/>
  <c r="B5" i="26"/>
  <c r="D5" i="26"/>
  <c r="AC29" i="16"/>
  <c r="L5" i="13"/>
  <c r="K5" i="13"/>
  <c r="C5" i="13"/>
  <c r="AA11" i="16"/>
  <c r="Y11" i="16"/>
  <c r="B5" i="13"/>
  <c r="W4" i="9"/>
  <c r="D5" i="13"/>
  <c r="W58" i="16"/>
  <c r="W44" i="16"/>
  <c r="I5" i="13"/>
  <c r="W4" i="5"/>
  <c r="S4" i="10"/>
  <c r="S4" i="13" s="1"/>
  <c r="S5" i="13"/>
  <c r="I5" i="26"/>
  <c r="AA4" i="13"/>
  <c r="X19" i="16"/>
  <c r="X16" i="16"/>
  <c r="X20" i="16"/>
  <c r="X24" i="16"/>
  <c r="X28" i="16"/>
  <c r="X33" i="16"/>
  <c r="X37" i="16"/>
  <c r="X41" i="16"/>
  <c r="X46" i="16"/>
  <c r="X50" i="16"/>
  <c r="X54" i="16"/>
  <c r="X61" i="16"/>
  <c r="X65" i="16"/>
  <c r="X69" i="16"/>
  <c r="X62" i="16"/>
  <c r="X66" i="16"/>
  <c r="X15" i="16"/>
  <c r="X14" i="16"/>
  <c r="X18" i="16"/>
  <c r="X22" i="16"/>
  <c r="X26" i="16"/>
  <c r="X31" i="16"/>
  <c r="X35" i="16"/>
  <c r="X39" i="16"/>
  <c r="X43" i="16"/>
  <c r="X48" i="16"/>
  <c r="X52" i="16"/>
  <c r="X56" i="16"/>
  <c r="X63" i="16"/>
  <c r="X67" i="16"/>
  <c r="X60" i="16"/>
  <c r="X64" i="16"/>
  <c r="X68" i="16"/>
  <c r="X44" i="16"/>
  <c r="X11" i="16"/>
  <c r="X29" i="16"/>
  <c r="W5" i="13"/>
  <c r="W4" i="4"/>
  <c r="AC44" i="16" l="1"/>
  <c r="J10" i="16"/>
  <c r="AC58" i="16"/>
  <c r="AA10" i="16"/>
  <c r="AC10" i="16" s="1"/>
  <c r="AC11" i="16"/>
  <c r="W4" i="13"/>
  <c r="W15" i="16"/>
  <c r="X58" i="16"/>
  <c r="W11" i="16" l="1"/>
  <c r="X10" i="16"/>
  <c r="W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R11" authorId="0" shapeId="0" xr:uid="{3DDE460A-AF95-42D2-961B-DBEFF11B490C}">
      <text>
        <r>
          <rPr>
            <b/>
            <sz val="9"/>
            <color indexed="81"/>
            <rFont val="Tahoma"/>
            <charset val="1"/>
          </rPr>
          <t>Christiana Datubo-Brown:</t>
        </r>
        <r>
          <rPr>
            <sz val="9"/>
            <color indexed="81"/>
            <rFont val="Tahoma"/>
            <charset val="1"/>
          </rPr>
          <t xml:space="preserve">
</t>
        </r>
      </text>
    </comment>
    <comment ref="K14" authorId="0" shapeId="0" xr:uid="{9A85E606-5BCF-4914-B0CD-0795350486DF}">
      <text>
        <r>
          <rPr>
            <b/>
            <sz val="9"/>
            <color indexed="81"/>
            <rFont val="Tahoma"/>
            <charset val="1"/>
          </rPr>
          <t>Christiana Datubo-Brown:</t>
        </r>
        <r>
          <rPr>
            <sz val="9"/>
            <color indexed="81"/>
            <rFont val="Tahoma"/>
            <charset val="1"/>
          </rPr>
          <t xml:space="preserve">
</t>
        </r>
      </text>
    </comment>
    <comment ref="I18" authorId="0" shapeId="0" xr:uid="{027F94F2-7677-460D-B77B-67F4C6DCB227}">
      <text>
        <r>
          <rPr>
            <b/>
            <sz val="9"/>
            <color indexed="81"/>
            <rFont val="Tahoma"/>
            <charset val="1"/>
          </rPr>
          <t>Christiana Datubo-Brown:</t>
        </r>
        <r>
          <rPr>
            <sz val="9"/>
            <color indexed="81"/>
            <rFont val="Tahoma"/>
            <charset val="1"/>
          </rPr>
          <t xml:space="preserve">
</t>
        </r>
      </text>
    </comment>
    <comment ref="K18" authorId="0" shapeId="0" xr:uid="{3806D6EA-3D23-42EB-B418-AC3D954504E8}">
      <text>
        <r>
          <rPr>
            <b/>
            <sz val="9"/>
            <color indexed="81"/>
            <rFont val="Tahoma"/>
            <charset val="1"/>
          </rPr>
          <t>Christiana Datubo-Brown:</t>
        </r>
        <r>
          <rPr>
            <sz val="9"/>
            <color indexed="81"/>
            <rFont val="Tahoma"/>
            <charset val="1"/>
          </rPr>
          <t xml:space="preserve">
</t>
        </r>
      </text>
    </comment>
    <comment ref="K23" authorId="0" shapeId="0" xr:uid="{4833C3AA-CE6D-4D3A-A474-9339E3DD08DC}">
      <text>
        <r>
          <rPr>
            <b/>
            <sz val="9"/>
            <color indexed="81"/>
            <rFont val="Tahoma"/>
            <charset val="1"/>
          </rPr>
          <t>Christiana Datubo-Brown:</t>
        </r>
        <r>
          <rPr>
            <sz val="9"/>
            <color indexed="81"/>
            <rFont val="Tahoma"/>
            <charset val="1"/>
          </rPr>
          <t xml:space="preserve">
</t>
        </r>
      </text>
    </comment>
    <comment ref="E24" authorId="0" shapeId="0" xr:uid="{E38A0A12-246E-4985-9AB1-8E7C65D31176}">
      <text>
        <r>
          <rPr>
            <b/>
            <sz val="9"/>
            <color indexed="81"/>
            <rFont val="Tahoma"/>
            <charset val="1"/>
          </rPr>
          <t>Christiana Datubo-Brown:</t>
        </r>
        <r>
          <rPr>
            <sz val="9"/>
            <color indexed="81"/>
            <rFont val="Tahoma"/>
            <charset val="1"/>
          </rPr>
          <t xml:space="preserve">
different formula</t>
        </r>
      </text>
    </comment>
    <comment ref="K24" authorId="0" shapeId="0" xr:uid="{0396BF7C-C628-4AC6-A331-C39B198598B4}">
      <text>
        <r>
          <rPr>
            <b/>
            <sz val="9"/>
            <color indexed="81"/>
            <rFont val="Tahoma"/>
            <charset val="1"/>
          </rPr>
          <t>Christiana Datubo-Brown:</t>
        </r>
        <r>
          <rPr>
            <sz val="9"/>
            <color indexed="81"/>
            <rFont val="Tahoma"/>
            <charset val="1"/>
          </rPr>
          <t xml:space="preserve">
</t>
        </r>
      </text>
    </comment>
    <comment ref="R24" authorId="0" shapeId="0" xr:uid="{C90FC34D-AF91-47DA-9CD8-B6A6A294953D}">
      <text>
        <r>
          <rPr>
            <b/>
            <sz val="9"/>
            <color indexed="81"/>
            <rFont val="Tahoma"/>
            <charset val="1"/>
          </rPr>
          <t>Christiana Datubo-Brown:</t>
        </r>
        <r>
          <rPr>
            <sz val="9"/>
            <color indexed="81"/>
            <rFont val="Tahoma"/>
            <charset val="1"/>
          </rPr>
          <t xml:space="preserve">
</t>
        </r>
      </text>
    </comment>
    <comment ref="M26" authorId="0" shapeId="0" xr:uid="{6239AEBD-BC91-4AC4-A5C5-8DC9A3DFECE9}">
      <text>
        <r>
          <rPr>
            <b/>
            <sz val="9"/>
            <color indexed="81"/>
            <rFont val="Tahoma"/>
            <charset val="1"/>
          </rPr>
          <t>Christiana Datubo-Brown:</t>
        </r>
        <r>
          <rPr>
            <sz val="9"/>
            <color indexed="81"/>
            <rFont val="Tahoma"/>
            <charset val="1"/>
          </rPr>
          <t xml:space="preserve">
</t>
        </r>
      </text>
    </comment>
    <comment ref="R29" authorId="0" shapeId="0" xr:uid="{EE5C7B35-E7C6-4BAC-A16E-37D1A259B3D4}">
      <text>
        <r>
          <rPr>
            <b/>
            <sz val="9"/>
            <color indexed="81"/>
            <rFont val="Tahoma"/>
            <charset val="1"/>
          </rPr>
          <t>Christiana Datubo-Brown:</t>
        </r>
        <r>
          <rPr>
            <sz val="9"/>
            <color indexed="81"/>
            <rFont val="Tahoma"/>
            <charset val="1"/>
          </rPr>
          <t xml:space="preserve">
</t>
        </r>
      </text>
    </comment>
    <comment ref="E32" authorId="0" shapeId="0" xr:uid="{BFF5B576-1FC0-422C-B3F1-EB8CD5F81DE8}">
      <text>
        <r>
          <rPr>
            <b/>
            <sz val="9"/>
            <color indexed="81"/>
            <rFont val="Tahoma"/>
            <charset val="1"/>
          </rPr>
          <t>Christiana Datubo-Brown:</t>
        </r>
        <r>
          <rPr>
            <sz val="9"/>
            <color indexed="81"/>
            <rFont val="Tahoma"/>
            <charset val="1"/>
          </rPr>
          <t xml:space="preserve">
different formula</t>
        </r>
      </text>
    </comment>
    <comment ref="K32" authorId="0" shapeId="0" xr:uid="{ED29E783-05E7-417E-A369-93BD949D5E84}">
      <text>
        <r>
          <rPr>
            <b/>
            <sz val="9"/>
            <color indexed="81"/>
            <rFont val="Tahoma"/>
            <charset val="1"/>
          </rPr>
          <t>Christiana Datubo-Brown:</t>
        </r>
        <r>
          <rPr>
            <sz val="9"/>
            <color indexed="81"/>
            <rFont val="Tahoma"/>
            <charset val="1"/>
          </rPr>
          <t xml:space="preserve">
</t>
        </r>
      </text>
    </comment>
    <comment ref="R32" authorId="0" shapeId="0" xr:uid="{87B1C558-71C5-4A72-9AD1-AEB934977B8F}">
      <text>
        <r>
          <rPr>
            <b/>
            <sz val="9"/>
            <color indexed="81"/>
            <rFont val="Tahoma"/>
            <charset val="1"/>
          </rPr>
          <t>Christiana Datubo-Brown:</t>
        </r>
        <r>
          <rPr>
            <sz val="9"/>
            <color indexed="81"/>
            <rFont val="Tahoma"/>
            <charset val="1"/>
          </rPr>
          <t xml:space="preserve">
</t>
        </r>
      </text>
    </comment>
    <comment ref="J34" authorId="0" shapeId="0" xr:uid="{3ACCC551-D482-43BB-A79A-7114DC909E19}">
      <text>
        <r>
          <rPr>
            <b/>
            <sz val="9"/>
            <color indexed="81"/>
            <rFont val="Tahoma"/>
            <charset val="1"/>
          </rPr>
          <t>Christiana Datubo-Brown:</t>
        </r>
        <r>
          <rPr>
            <sz val="9"/>
            <color indexed="81"/>
            <rFont val="Tahoma"/>
            <charset val="1"/>
          </rPr>
          <t xml:space="preserve">
</t>
        </r>
      </text>
    </comment>
    <comment ref="N35" authorId="0" shapeId="0" xr:uid="{A75B3EF4-774B-47D6-9379-37886C97035D}">
      <text>
        <r>
          <rPr>
            <b/>
            <sz val="9"/>
            <color indexed="81"/>
            <rFont val="Tahoma"/>
            <charset val="1"/>
          </rPr>
          <t>Christiana Datubo-Brown:</t>
        </r>
        <r>
          <rPr>
            <sz val="9"/>
            <color indexed="81"/>
            <rFont val="Tahoma"/>
            <charset val="1"/>
          </rPr>
          <t xml:space="preserve">
</t>
        </r>
      </text>
    </comment>
    <comment ref="R37" authorId="0" shapeId="0" xr:uid="{E58D01A6-3032-4F2C-87B1-8D4335E7B572}">
      <text>
        <r>
          <rPr>
            <b/>
            <sz val="9"/>
            <color indexed="81"/>
            <rFont val="Tahoma"/>
            <charset val="1"/>
          </rPr>
          <t>Christiana Datubo-Brown:</t>
        </r>
        <r>
          <rPr>
            <sz val="9"/>
            <color indexed="81"/>
            <rFont val="Tahoma"/>
            <charset val="1"/>
          </rPr>
          <t xml:space="preserve">
</t>
        </r>
      </text>
    </comment>
    <comment ref="I38" authorId="0" shapeId="0" xr:uid="{12AA890D-C1F2-4721-943F-3C269163C555}">
      <text>
        <r>
          <rPr>
            <b/>
            <sz val="9"/>
            <color indexed="81"/>
            <rFont val="Tahoma"/>
            <charset val="1"/>
          </rPr>
          <t>Christiana Datubo-Brown:</t>
        </r>
        <r>
          <rPr>
            <sz val="9"/>
            <color indexed="81"/>
            <rFont val="Tahoma"/>
            <charset val="1"/>
          </rPr>
          <t xml:space="preserve">
</t>
        </r>
      </text>
    </comment>
    <comment ref="J38" authorId="0" shapeId="0" xr:uid="{EBAC043A-6DD0-4B52-A4D0-208D48447C5A}">
      <text>
        <r>
          <rPr>
            <b/>
            <sz val="9"/>
            <color indexed="81"/>
            <rFont val="Tahoma"/>
            <charset val="1"/>
          </rPr>
          <t>Christiana Datubo-Brown:</t>
        </r>
        <r>
          <rPr>
            <sz val="9"/>
            <color indexed="81"/>
            <rFont val="Tahoma"/>
            <charset val="1"/>
          </rPr>
          <t xml:space="preserve">
</t>
        </r>
      </text>
    </comment>
    <comment ref="K40" authorId="0" shapeId="0" xr:uid="{A44D79B3-6971-4508-854E-9E7597A31039}">
      <text>
        <r>
          <rPr>
            <b/>
            <sz val="9"/>
            <color indexed="81"/>
            <rFont val="Tahoma"/>
            <charset val="1"/>
          </rPr>
          <t>Christiana Datubo-Brown:</t>
        </r>
        <r>
          <rPr>
            <sz val="9"/>
            <color indexed="81"/>
            <rFont val="Tahoma"/>
            <charset val="1"/>
          </rPr>
          <t xml:space="preserve">
</t>
        </r>
      </text>
    </comment>
    <comment ref="K44" authorId="0" shapeId="0" xr:uid="{9FEE5509-3C9C-4AD3-92DB-94E82D2B847B}">
      <text>
        <r>
          <rPr>
            <b/>
            <sz val="9"/>
            <color indexed="81"/>
            <rFont val="Tahoma"/>
            <charset val="1"/>
          </rPr>
          <t>Christiana Datubo-Brown:</t>
        </r>
        <r>
          <rPr>
            <sz val="9"/>
            <color indexed="81"/>
            <rFont val="Tahoma"/>
            <charset val="1"/>
          </rPr>
          <t xml:space="preserve">
</t>
        </r>
      </text>
    </comment>
    <comment ref="K47" authorId="0" shapeId="0" xr:uid="{8BB8E8E7-C6C1-46C9-8ED8-A55712AC9F72}">
      <text>
        <r>
          <rPr>
            <b/>
            <sz val="9"/>
            <color indexed="81"/>
            <rFont val="Tahoma"/>
            <charset val="1"/>
          </rPr>
          <t>Christiana Datubo-Brown:</t>
        </r>
        <r>
          <rPr>
            <sz val="9"/>
            <color indexed="81"/>
            <rFont val="Tahoma"/>
            <charset val="1"/>
          </rPr>
          <t xml:space="preserve">
</t>
        </r>
      </text>
    </comment>
    <comment ref="J50" authorId="0" shapeId="0" xr:uid="{8F17AAC0-DB25-4EE4-9A71-0529111D4409}">
      <text>
        <r>
          <rPr>
            <b/>
            <sz val="9"/>
            <color indexed="81"/>
            <rFont val="Tahoma"/>
            <charset val="1"/>
          </rPr>
          <t>Christiana Datubo-Brown:</t>
        </r>
        <r>
          <rPr>
            <sz val="9"/>
            <color indexed="81"/>
            <rFont val="Tahoma"/>
            <charset val="1"/>
          </rPr>
          <t xml:space="preserve">
</t>
        </r>
      </text>
    </comment>
    <comment ref="L50" authorId="0" shapeId="0" xr:uid="{4CDB6BCE-1DEC-40D2-AE7C-EB6ADB856D1E}">
      <text>
        <r>
          <rPr>
            <b/>
            <sz val="9"/>
            <color indexed="81"/>
            <rFont val="Tahoma"/>
            <charset val="1"/>
          </rPr>
          <t>Christiana Datubo-Brown:</t>
        </r>
        <r>
          <rPr>
            <sz val="9"/>
            <color indexed="81"/>
            <rFont val="Tahoma"/>
            <charset val="1"/>
          </rPr>
          <t xml:space="preserve">
</t>
        </r>
      </text>
    </comment>
    <comment ref="M54" authorId="0" shapeId="0" xr:uid="{A8DFB91A-E010-44D6-8AD6-96AE2BCDD2C9}">
      <text>
        <r>
          <rPr>
            <b/>
            <sz val="9"/>
            <color indexed="81"/>
            <rFont val="Tahoma"/>
            <charset val="1"/>
          </rPr>
          <t>Christiana Datubo-Brown:</t>
        </r>
        <r>
          <rPr>
            <sz val="9"/>
            <color indexed="81"/>
            <rFont val="Tahoma"/>
            <charset val="1"/>
          </rPr>
          <t xml:space="preserve">
</t>
        </r>
      </text>
    </comment>
    <comment ref="J66" authorId="0" shapeId="0" xr:uid="{FDB9EDF0-0329-49A5-B9E9-E0CE05687DFB}">
      <text>
        <r>
          <rPr>
            <b/>
            <sz val="9"/>
            <color indexed="81"/>
            <rFont val="Tahoma"/>
            <charset val="1"/>
          </rPr>
          <t>Christiana Datubo-Brown:</t>
        </r>
        <r>
          <rPr>
            <sz val="9"/>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900-000002000000}">
      <text>
        <r>
          <rPr>
            <b/>
            <sz val="10"/>
            <color indexed="81"/>
            <rFont val="Tahoma"/>
            <family val="2"/>
          </rPr>
          <t>jmarks:</t>
        </r>
        <r>
          <rPr>
            <sz val="10"/>
            <color indexed="81"/>
            <rFont val="Tahoma"/>
            <family val="2"/>
          </rPr>
          <t xml:space="preserve">
Not available (Aug. 2010)
</t>
        </r>
      </text>
    </comment>
    <comment ref="Q3" authorId="1" shapeId="0" xr:uid="{00000000-0006-0000-09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9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900-000005000000}">
      <text>
        <r>
          <rPr>
            <b/>
            <sz val="8"/>
            <color indexed="81"/>
            <rFont val="Tahoma"/>
            <family val="2"/>
          </rPr>
          <t>jmarks:</t>
        </r>
        <r>
          <rPr>
            <sz val="8"/>
            <color indexed="81"/>
            <rFont val="Tahoma"/>
            <family val="2"/>
          </rPr>
          <t xml:space="preserve">
U Del from FASB file
</t>
        </r>
      </text>
    </comment>
    <comment ref="T9" authorId="1" shapeId="0" xr:uid="{00000000-0006-0000-0900-000006000000}">
      <text>
        <r>
          <rPr>
            <b/>
            <sz val="8"/>
            <color indexed="81"/>
            <rFont val="Tahoma"/>
            <family val="2"/>
          </rPr>
          <t>jmarks:</t>
        </r>
        <r>
          <rPr>
            <sz val="8"/>
            <color indexed="81"/>
            <rFont val="Tahoma"/>
            <family val="2"/>
          </rPr>
          <t xml:space="preserve">
U Del from FASB file
</t>
        </r>
      </text>
    </comment>
    <comment ref="W9" authorId="1" shapeId="0" xr:uid="{00000000-0006-0000-0900-000007000000}">
      <text>
        <r>
          <rPr>
            <b/>
            <sz val="8"/>
            <color indexed="81"/>
            <rFont val="Tahoma"/>
            <family val="2"/>
          </rPr>
          <t>jmarks:</t>
        </r>
        <r>
          <rPr>
            <sz val="8"/>
            <color indexed="81"/>
            <rFont val="Tahoma"/>
            <family val="2"/>
          </rPr>
          <t xml:space="preserve">
U Del from FASB file
</t>
        </r>
      </text>
    </comment>
    <comment ref="Y9" authorId="1" shapeId="0" xr:uid="{00000000-0006-0000-0900-000008000000}">
      <text>
        <r>
          <rPr>
            <b/>
            <sz val="8"/>
            <color indexed="81"/>
            <rFont val="Tahoma"/>
            <family val="2"/>
          </rPr>
          <t>jmarks:</t>
        </r>
        <r>
          <rPr>
            <sz val="8"/>
            <color indexed="81"/>
            <rFont val="Tahoma"/>
            <family val="2"/>
          </rPr>
          <t xml:space="preserve">
U Del from FASB file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0A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0A00-000003000000}">
      <text>
        <r>
          <rPr>
            <b/>
            <sz val="10"/>
            <color indexed="81"/>
            <rFont val="Tahoma"/>
            <family val="2"/>
          </rPr>
          <t>jmarks:</t>
        </r>
        <r>
          <rPr>
            <sz val="10"/>
            <color indexed="81"/>
            <rFont val="Tahoma"/>
            <family val="2"/>
          </rPr>
          <t xml:space="preserve">
Not available (Aug. 2010)
</t>
        </r>
      </text>
    </comment>
    <comment ref="Q3" authorId="1" shapeId="0" xr:uid="{00000000-0006-0000-0A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A00-000005000000}">
      <text>
        <r>
          <rPr>
            <b/>
            <sz val="8"/>
            <color indexed="81"/>
            <rFont val="Tahoma"/>
            <family val="2"/>
          </rPr>
          <t>jmarks:</t>
        </r>
        <r>
          <rPr>
            <sz val="8"/>
            <color indexed="81"/>
            <rFont val="Tahoma"/>
            <family val="2"/>
          </rPr>
          <t xml:space="preserve">
last year of old reporting standards
</t>
        </r>
      </text>
    </comment>
    <comment ref="S9" authorId="1" shapeId="0" xr:uid="{00000000-0006-0000-0A00-000006000000}">
      <text>
        <r>
          <rPr>
            <b/>
            <sz val="8"/>
            <color indexed="81"/>
            <rFont val="Tahoma"/>
            <family val="2"/>
          </rPr>
          <t>jmarks:</t>
        </r>
        <r>
          <rPr>
            <sz val="8"/>
            <color indexed="81"/>
            <rFont val="Tahoma"/>
            <family val="2"/>
          </rPr>
          <t xml:space="preserve">
U Del from FASB file</t>
        </r>
      </text>
    </comment>
    <comment ref="W9" authorId="1" shapeId="0" xr:uid="{00000000-0006-0000-0A00-000007000000}">
      <text>
        <r>
          <rPr>
            <b/>
            <sz val="8"/>
            <color indexed="81"/>
            <rFont val="Tahoma"/>
            <family val="2"/>
          </rPr>
          <t>jmarks:</t>
        </r>
        <r>
          <rPr>
            <sz val="8"/>
            <color indexed="81"/>
            <rFont val="Tahoma"/>
            <family val="2"/>
          </rPr>
          <t xml:space="preserve">
U Del from FASB file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B00-000002000000}">
      <text>
        <r>
          <rPr>
            <b/>
            <sz val="10"/>
            <color indexed="81"/>
            <rFont val="Tahoma"/>
            <family val="2"/>
          </rPr>
          <t>jmarks:</t>
        </r>
        <r>
          <rPr>
            <sz val="10"/>
            <color indexed="81"/>
            <rFont val="Tahoma"/>
            <family val="2"/>
          </rPr>
          <t xml:space="preserve">
Not available (Aug. 2010)
</t>
        </r>
      </text>
    </comment>
    <comment ref="Q3" authorId="1" shapeId="0" xr:uid="{00000000-0006-0000-0B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B00-000004000000}">
      <text>
        <r>
          <rPr>
            <b/>
            <sz val="8"/>
            <color indexed="81"/>
            <rFont val="Tahoma"/>
            <family val="2"/>
          </rPr>
          <t>jmarks:</t>
        </r>
        <r>
          <rPr>
            <sz val="8"/>
            <color indexed="81"/>
            <rFont val="Tahoma"/>
            <family val="2"/>
          </rPr>
          <t xml:space="preserve">
last year of old reporting standards
</t>
        </r>
      </text>
    </comment>
    <comment ref="K4" authorId="0" shapeId="0" xr:uid="{00000000-0006-0000-0B00-000005000000}">
      <text>
        <r>
          <rPr>
            <b/>
            <sz val="10"/>
            <color indexed="81"/>
            <rFont val="Tahoma"/>
            <family val="2"/>
          </rPr>
          <t>JLM:</t>
        </r>
        <r>
          <rPr>
            <sz val="10"/>
            <color indexed="81"/>
            <rFont val="Tahoma"/>
            <family val="2"/>
          </rPr>
          <t xml:space="preserve">
orginal number lost; extrapolated
</t>
        </r>
      </text>
    </comment>
    <comment ref="L4" authorId="0" shapeId="0" xr:uid="{00000000-0006-0000-0B00-000006000000}">
      <text>
        <r>
          <rPr>
            <b/>
            <sz val="10"/>
            <color indexed="81"/>
            <rFont val="Tahoma"/>
            <family val="2"/>
          </rPr>
          <t>JLM:</t>
        </r>
        <r>
          <rPr>
            <sz val="10"/>
            <color indexed="81"/>
            <rFont val="Tahoma"/>
            <family val="2"/>
          </rPr>
          <t xml:space="preserve">
orginal number lost; extrapolated
</t>
        </r>
      </text>
    </comment>
    <comment ref="N4" authorId="0" shapeId="0" xr:uid="{00000000-0006-0000-0B00-000007000000}">
      <text>
        <r>
          <rPr>
            <b/>
            <sz val="10"/>
            <color indexed="81"/>
            <rFont val="Tahoma"/>
            <family val="2"/>
          </rPr>
          <t>JLM:</t>
        </r>
        <r>
          <rPr>
            <sz val="10"/>
            <color indexed="81"/>
            <rFont val="Tahoma"/>
            <family val="2"/>
          </rPr>
          <t xml:space="preserve">
orginal number lost; extrapolated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C00-000002000000}">
      <text>
        <r>
          <rPr>
            <b/>
            <sz val="10"/>
            <color indexed="81"/>
            <rFont val="Tahoma"/>
            <family val="2"/>
          </rPr>
          <t>jmarks:</t>
        </r>
        <r>
          <rPr>
            <sz val="10"/>
            <color indexed="81"/>
            <rFont val="Tahoma"/>
            <family val="2"/>
          </rPr>
          <t xml:space="preserve">
Not available (Aug. 2010)
</t>
        </r>
      </text>
    </comment>
    <comment ref="Q3" authorId="1" shapeId="0" xr:uid="{00000000-0006-0000-0C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C00-000004000000}">
      <text>
        <r>
          <rPr>
            <b/>
            <sz val="8"/>
            <color indexed="81"/>
            <rFont val="Tahoma"/>
            <family val="2"/>
          </rPr>
          <t>jmarks:</t>
        </r>
        <r>
          <rPr>
            <sz val="8"/>
            <color indexed="81"/>
            <rFont val="Tahoma"/>
            <family val="2"/>
          </rPr>
          <t xml:space="preserve">
last year of old reporting standards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D00-000002000000}">
      <text>
        <r>
          <rPr>
            <b/>
            <sz val="10"/>
            <color indexed="81"/>
            <rFont val="Tahoma"/>
            <family val="2"/>
          </rPr>
          <t>jmarks:</t>
        </r>
        <r>
          <rPr>
            <sz val="10"/>
            <color indexed="81"/>
            <rFont val="Tahoma"/>
            <family val="2"/>
          </rPr>
          <t xml:space="preserve">
Not available (Aug. 2010)
</t>
        </r>
      </text>
    </comment>
    <comment ref="Q3" authorId="1" shapeId="0" xr:uid="{00000000-0006-0000-0D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D00-000004000000}">
      <text>
        <r>
          <rPr>
            <b/>
            <sz val="8"/>
            <color indexed="81"/>
            <rFont val="Tahoma"/>
            <family val="2"/>
          </rPr>
          <t>jmarks:</t>
        </r>
        <r>
          <rPr>
            <sz val="8"/>
            <color indexed="81"/>
            <rFont val="Tahoma"/>
            <family val="2"/>
          </rPr>
          <t xml:space="preserve">
last year of old reporting standards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E00-000002000000}">
      <text>
        <r>
          <rPr>
            <b/>
            <sz val="10"/>
            <color indexed="81"/>
            <rFont val="Tahoma"/>
            <family val="2"/>
          </rPr>
          <t>jmarks:</t>
        </r>
        <r>
          <rPr>
            <sz val="10"/>
            <color indexed="81"/>
            <rFont val="Tahoma"/>
            <family val="2"/>
          </rPr>
          <t xml:space="preserve">
Not available (Aug. 2010)
</t>
        </r>
      </text>
    </comment>
    <comment ref="Q3" authorId="1" shapeId="0" xr:uid="{00000000-0006-0000-0E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E00-000004000000}">
      <text>
        <r>
          <rPr>
            <b/>
            <sz val="8"/>
            <color indexed="81"/>
            <rFont val="Tahoma"/>
            <family val="2"/>
          </rPr>
          <t>jmarks:</t>
        </r>
        <r>
          <rPr>
            <sz val="8"/>
            <color indexed="81"/>
            <rFont val="Tahoma"/>
            <family val="2"/>
          </rPr>
          <t xml:space="preserve">
last year of old reporting standards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F00-000002000000}">
      <text>
        <r>
          <rPr>
            <b/>
            <sz val="10"/>
            <color indexed="81"/>
            <rFont val="Tahoma"/>
            <family val="2"/>
          </rPr>
          <t>jmarks:</t>
        </r>
        <r>
          <rPr>
            <sz val="10"/>
            <color indexed="81"/>
            <rFont val="Tahoma"/>
            <family val="2"/>
          </rPr>
          <t xml:space="preserve">
Not available (Aug. 2010)
</t>
        </r>
      </text>
    </comment>
    <comment ref="Q3" authorId="1" shapeId="0" xr:uid="{00000000-0006-0000-0F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F00-000004000000}">
      <text>
        <r>
          <rPr>
            <b/>
            <sz val="8"/>
            <color indexed="81"/>
            <rFont val="Tahoma"/>
            <family val="2"/>
          </rPr>
          <t>jmarks:</t>
        </r>
        <r>
          <rPr>
            <sz val="8"/>
            <color indexed="81"/>
            <rFont val="Tahoma"/>
            <family val="2"/>
          </rPr>
          <t xml:space="preserve">
last year of old reporting standards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1000-000002000000}">
      <text>
        <r>
          <rPr>
            <b/>
            <sz val="10"/>
            <color indexed="81"/>
            <rFont val="Tahoma"/>
            <family val="2"/>
          </rPr>
          <t>jmarks:</t>
        </r>
        <r>
          <rPr>
            <sz val="10"/>
            <color indexed="81"/>
            <rFont val="Tahoma"/>
            <family val="2"/>
          </rPr>
          <t xml:space="preserve">
Not available (Aug. 2010)
</t>
        </r>
      </text>
    </comment>
    <comment ref="Q3" authorId="1" shapeId="0" xr:uid="{00000000-0006-0000-10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000-000004000000}">
      <text>
        <r>
          <rPr>
            <b/>
            <sz val="8"/>
            <color indexed="81"/>
            <rFont val="Tahoma"/>
            <family val="2"/>
          </rPr>
          <t>jmarks:</t>
        </r>
        <r>
          <rPr>
            <sz val="8"/>
            <color indexed="81"/>
            <rFont val="Tahoma"/>
            <family val="2"/>
          </rPr>
          <t xml:space="preserve">
last year of old reporting standards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11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1100-000003000000}">
      <text>
        <r>
          <rPr>
            <b/>
            <sz val="10"/>
            <color indexed="81"/>
            <rFont val="Tahoma"/>
            <family val="2"/>
          </rPr>
          <t>jmarks:</t>
        </r>
        <r>
          <rPr>
            <sz val="10"/>
            <color indexed="81"/>
            <rFont val="Tahoma"/>
            <family val="2"/>
          </rPr>
          <t xml:space="preserve">
Not available (Aug. 2010)
</t>
        </r>
      </text>
    </comment>
    <comment ref="Q3" authorId="1" shapeId="0" xr:uid="{00000000-0006-0000-11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100-000005000000}">
      <text>
        <r>
          <rPr>
            <b/>
            <sz val="8"/>
            <color indexed="81"/>
            <rFont val="Tahoma"/>
            <family val="2"/>
          </rPr>
          <t>jmarks:</t>
        </r>
        <r>
          <rPr>
            <sz val="8"/>
            <color indexed="81"/>
            <rFont val="Tahoma"/>
            <family val="2"/>
          </rPr>
          <t xml:space="preserve">
last year of old reporting standards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 Lounsbury</author>
    <author>Christiana Datubo-Brown</author>
    <author>jmarks</author>
  </authors>
  <commentList>
    <comment ref="R14" authorId="0" shapeId="0" xr:uid="{B17AA6D4-2A81-4EF8-BFEC-3ED1EE841A69}">
      <text>
        <r>
          <rPr>
            <sz val="10"/>
            <rFont val="SWISS-C"/>
          </rPr>
          <t xml:space="preserve">Susan Lounsbury:
</t>
        </r>
      </text>
    </comment>
    <comment ref="U14" authorId="0" shapeId="0" xr:uid="{184E4A6D-569B-4813-B439-9421D417377E}">
      <text>
        <r>
          <rPr>
            <sz val="10"/>
            <rFont val="SWISS-C"/>
          </rPr>
          <t xml:space="preserve">Susan Lounsbury:
</t>
        </r>
      </text>
    </comment>
    <comment ref="R15" authorId="0" shapeId="0" xr:uid="{9EA1C240-D6BF-47DE-A749-F81EFD69DEA5}">
      <text>
        <r>
          <rPr>
            <sz val="10"/>
            <rFont val="SWISS-C"/>
          </rPr>
          <t xml:space="preserve">Susan Lounsbury:
</t>
        </r>
      </text>
    </comment>
    <comment ref="R16" authorId="0" shapeId="0" xr:uid="{ED171F12-E99A-4C7A-8027-243B94569A15}">
      <text>
        <r>
          <rPr>
            <sz val="10"/>
            <rFont val="SWISS-C"/>
          </rPr>
          <t xml:space="preserve">Susan Lounsbury:
</t>
        </r>
      </text>
    </comment>
    <comment ref="U16" authorId="0" shapeId="0" xr:uid="{8D1F4783-FF05-4CA9-9737-87FFF1AE42C9}">
      <text>
        <r>
          <rPr>
            <sz val="10"/>
            <rFont val="SWISS-C"/>
          </rPr>
          <t xml:space="preserve">Susan Lounsbury:
</t>
        </r>
      </text>
    </comment>
    <comment ref="K17" authorId="1" shapeId="0" xr:uid="{1BDF89A0-3B0C-4936-A145-79F1B30AFDC6}">
      <text>
        <r>
          <rPr>
            <b/>
            <sz val="9"/>
            <color indexed="81"/>
            <rFont val="Tahoma"/>
            <charset val="1"/>
          </rPr>
          <t>Christiana Datubo-Brown:</t>
        </r>
        <r>
          <rPr>
            <sz val="9"/>
            <color indexed="81"/>
            <rFont val="Tahoma"/>
            <charset val="1"/>
          </rPr>
          <t xml:space="preserve">
</t>
        </r>
      </text>
    </comment>
    <comment ref="R17" authorId="0" shapeId="0" xr:uid="{7B3BCC44-AD6B-4206-BD06-73148981D9C4}">
      <text>
        <r>
          <rPr>
            <sz val="10"/>
            <rFont val="SWISS-C"/>
          </rPr>
          <t xml:space="preserve">Susan Lounsbury:
</t>
        </r>
      </text>
    </comment>
    <comment ref="R18" authorId="0" shapeId="0" xr:uid="{B4EB28DD-F205-4CB1-B701-4C20C4F2BD66}">
      <text>
        <r>
          <rPr>
            <sz val="10"/>
            <rFont val="SWISS-C"/>
          </rPr>
          <t xml:space="preserve">Susan Lounsbury:
</t>
        </r>
      </text>
    </comment>
    <comment ref="R24" authorId="1" shapeId="0" xr:uid="{1E33B7A2-59DE-4E1B-974D-B4B15E8C3EB7}">
      <text>
        <r>
          <rPr>
            <b/>
            <sz val="9"/>
            <color indexed="81"/>
            <rFont val="Tahoma"/>
            <charset val="1"/>
          </rPr>
          <t>Christiana Datubo-Brown:</t>
        </r>
        <r>
          <rPr>
            <sz val="9"/>
            <color indexed="81"/>
            <rFont val="Tahoma"/>
            <charset val="1"/>
          </rPr>
          <t xml:space="preserve">
</t>
        </r>
      </text>
    </comment>
    <comment ref="K26" authorId="1" shapeId="0" xr:uid="{6EF2362A-3F3A-4ACE-A58F-420A51D3ED30}">
      <text>
        <r>
          <rPr>
            <b/>
            <sz val="9"/>
            <color indexed="81"/>
            <rFont val="Tahoma"/>
            <charset val="1"/>
          </rPr>
          <t>Christiana Datubo-Brown:</t>
        </r>
        <r>
          <rPr>
            <sz val="9"/>
            <color indexed="81"/>
            <rFont val="Tahoma"/>
            <charset val="1"/>
          </rPr>
          <t xml:space="preserve">
</t>
        </r>
      </text>
    </comment>
    <comment ref="R27" authorId="0" shapeId="0" xr:uid="{60BE2775-D6AF-4044-BACE-61E75113FCBC}">
      <text>
        <r>
          <rPr>
            <sz val="10"/>
            <rFont val="SWISS-C"/>
          </rPr>
          <t xml:space="preserve">Susan Lounsbury:
</t>
        </r>
      </text>
    </comment>
    <comment ref="R34" authorId="1" shapeId="0" xr:uid="{935F2BC3-D5E2-4735-A4E5-8AB79BD88CA1}">
      <text>
        <r>
          <rPr>
            <b/>
            <sz val="9"/>
            <color indexed="81"/>
            <rFont val="Tahoma"/>
            <charset val="1"/>
          </rPr>
          <t>Christiana Datubo-Brown:</t>
        </r>
        <r>
          <rPr>
            <sz val="9"/>
            <color indexed="81"/>
            <rFont val="Tahoma"/>
            <charset val="1"/>
          </rPr>
          <t xml:space="preserve">
</t>
        </r>
      </text>
    </comment>
    <comment ref="R37" authorId="1" shapeId="0" xr:uid="{3314A9AC-D905-426B-A17B-F840EDFB8645}">
      <text>
        <r>
          <rPr>
            <b/>
            <sz val="9"/>
            <color indexed="81"/>
            <rFont val="Tahoma"/>
            <charset val="1"/>
          </rPr>
          <t>Christiana Datubo-Brown:</t>
        </r>
        <r>
          <rPr>
            <sz val="9"/>
            <color indexed="81"/>
            <rFont val="Tahoma"/>
            <charset val="1"/>
          </rPr>
          <t xml:space="preserve">
</t>
        </r>
      </text>
    </comment>
    <comment ref="R40" authorId="1" shapeId="0" xr:uid="{80CA7F9E-149F-43FB-9BF4-FE44B4FB265C}">
      <text>
        <r>
          <rPr>
            <b/>
            <sz val="9"/>
            <color indexed="81"/>
            <rFont val="Tahoma"/>
            <charset val="1"/>
          </rPr>
          <t>Christiana Datubo-Brown:</t>
        </r>
        <r>
          <rPr>
            <sz val="9"/>
            <color indexed="81"/>
            <rFont val="Tahoma"/>
            <charset val="1"/>
          </rPr>
          <t xml:space="preserve">
</t>
        </r>
      </text>
    </comment>
    <comment ref="R41" authorId="1" shapeId="0" xr:uid="{28E37537-539E-4B8A-B84D-5B4A9D87B79B}">
      <text>
        <r>
          <rPr>
            <b/>
            <sz val="9"/>
            <color indexed="81"/>
            <rFont val="Tahoma"/>
            <charset val="1"/>
          </rPr>
          <t>Christiana Datubo-Brown:</t>
        </r>
        <r>
          <rPr>
            <sz val="9"/>
            <color indexed="81"/>
            <rFont val="Tahoma"/>
            <charset val="1"/>
          </rPr>
          <t xml:space="preserve">
</t>
        </r>
      </text>
    </comment>
    <comment ref="R46" authorId="1" shapeId="0" xr:uid="{319BA928-185E-4D1B-A10F-B2BF6C912130}">
      <text>
        <r>
          <rPr>
            <b/>
            <sz val="9"/>
            <color indexed="81"/>
            <rFont val="Tahoma"/>
            <charset val="1"/>
          </rPr>
          <t>Christiana Datubo-Brown:</t>
        </r>
        <r>
          <rPr>
            <sz val="9"/>
            <color indexed="81"/>
            <rFont val="Tahoma"/>
            <charset val="1"/>
          </rPr>
          <t xml:space="preserve">
</t>
        </r>
      </text>
    </comment>
    <comment ref="M47" authorId="1" shapeId="0" xr:uid="{479C83F9-9BEC-4B2D-A181-78F79BBE121E}">
      <text>
        <r>
          <rPr>
            <b/>
            <sz val="9"/>
            <color indexed="81"/>
            <rFont val="Tahoma"/>
            <charset val="1"/>
          </rPr>
          <t>Christiana Datubo-Brown:</t>
        </r>
        <r>
          <rPr>
            <sz val="9"/>
            <color indexed="81"/>
            <rFont val="Tahoma"/>
            <charset val="1"/>
          </rPr>
          <t xml:space="preserve">
</t>
        </r>
      </text>
    </comment>
    <comment ref="R50" authorId="1" shapeId="0" xr:uid="{E8C9A985-67F3-4129-AF3B-66A32CC0A096}">
      <text>
        <r>
          <rPr>
            <b/>
            <sz val="9"/>
            <color indexed="81"/>
            <rFont val="Tahoma"/>
            <charset val="1"/>
          </rPr>
          <t>Christiana Datubo-Brown:</t>
        </r>
        <r>
          <rPr>
            <sz val="9"/>
            <color indexed="81"/>
            <rFont val="Tahoma"/>
            <charset val="1"/>
          </rPr>
          <t xml:space="preserve">
</t>
        </r>
      </text>
    </comment>
    <comment ref="R53" authorId="1" shapeId="0" xr:uid="{6BAE5BF4-CBBD-466B-BC7E-F5F375A9B41F}">
      <text>
        <r>
          <rPr>
            <b/>
            <sz val="9"/>
            <color indexed="81"/>
            <rFont val="Tahoma"/>
            <charset val="1"/>
          </rPr>
          <t>Christiana Datubo-Brown:</t>
        </r>
        <r>
          <rPr>
            <sz val="9"/>
            <color indexed="81"/>
            <rFont val="Tahoma"/>
            <charset val="1"/>
          </rPr>
          <t xml:space="preserve">
</t>
        </r>
      </text>
    </comment>
    <comment ref="R55" authorId="1" shapeId="0" xr:uid="{50FB4180-61B1-45ED-A462-56F940BBF10F}">
      <text>
        <r>
          <rPr>
            <b/>
            <sz val="9"/>
            <color indexed="81"/>
            <rFont val="Tahoma"/>
            <charset val="1"/>
          </rPr>
          <t>Christiana Datubo-Brown:</t>
        </r>
        <r>
          <rPr>
            <sz val="9"/>
            <color indexed="81"/>
            <rFont val="Tahoma"/>
            <charset val="1"/>
          </rPr>
          <t xml:space="preserve">
</t>
        </r>
      </text>
    </comment>
    <comment ref="M57" authorId="1" shapeId="0" xr:uid="{CA5CF506-6B87-4B2E-83C0-943758C72695}">
      <text>
        <r>
          <rPr>
            <b/>
            <sz val="9"/>
            <color indexed="81"/>
            <rFont val="Tahoma"/>
            <charset val="1"/>
          </rPr>
          <t>Christiana Datubo-Brown:</t>
        </r>
        <r>
          <rPr>
            <sz val="9"/>
            <color indexed="81"/>
            <rFont val="Tahoma"/>
            <charset val="1"/>
          </rPr>
          <t xml:space="preserve">
</t>
        </r>
      </text>
    </comment>
    <comment ref="R59" authorId="1" shapeId="0" xr:uid="{8C196E86-B0C4-4258-B3A2-6719DD90CA94}">
      <text>
        <r>
          <rPr>
            <b/>
            <sz val="9"/>
            <color indexed="81"/>
            <rFont val="Tahoma"/>
            <charset val="1"/>
          </rPr>
          <t>Christiana Datubo-Brown:</t>
        </r>
        <r>
          <rPr>
            <sz val="9"/>
            <color indexed="81"/>
            <rFont val="Tahoma"/>
            <charset val="1"/>
          </rPr>
          <t xml:space="preserve">
</t>
        </r>
      </text>
    </comment>
    <comment ref="R60" authorId="1" shapeId="0" xr:uid="{EEDBD66B-E0BE-46D9-96F8-C2DFC46280D4}">
      <text>
        <r>
          <rPr>
            <b/>
            <sz val="9"/>
            <color indexed="81"/>
            <rFont val="Tahoma"/>
            <charset val="1"/>
          </rPr>
          <t>Christiana Datubo-Brown:</t>
        </r>
        <r>
          <rPr>
            <sz val="9"/>
            <color indexed="81"/>
            <rFont val="Tahoma"/>
            <charset val="1"/>
          </rPr>
          <t xml:space="preserve">
</t>
        </r>
      </text>
    </comment>
    <comment ref="R61" authorId="1" shapeId="0" xr:uid="{9E89568F-8E17-4221-AFFD-5806B9399830}">
      <text>
        <r>
          <rPr>
            <b/>
            <sz val="9"/>
            <color indexed="81"/>
            <rFont val="Tahoma"/>
            <charset val="1"/>
          </rPr>
          <t>Christiana Datubo-Brown:</t>
        </r>
        <r>
          <rPr>
            <sz val="9"/>
            <color indexed="81"/>
            <rFont val="Tahoma"/>
            <charset val="1"/>
          </rPr>
          <t xml:space="preserve">
</t>
        </r>
      </text>
    </comment>
    <comment ref="R62" authorId="1" shapeId="0" xr:uid="{4F9E3387-DF2C-49EC-97BF-563A00007D84}">
      <text>
        <r>
          <rPr>
            <b/>
            <sz val="9"/>
            <color indexed="81"/>
            <rFont val="Tahoma"/>
            <charset val="1"/>
          </rPr>
          <t>Christiana Datubo-Brown:</t>
        </r>
        <r>
          <rPr>
            <sz val="9"/>
            <color indexed="81"/>
            <rFont val="Tahoma"/>
            <charset val="1"/>
          </rPr>
          <t xml:space="preserve">
</t>
        </r>
      </text>
    </comment>
    <comment ref="R66" authorId="1" shapeId="0" xr:uid="{F3D21F4B-73A1-4BDB-A367-DABE6305F950}">
      <text>
        <r>
          <rPr>
            <b/>
            <sz val="9"/>
            <color indexed="81"/>
            <rFont val="Tahoma"/>
            <charset val="1"/>
          </rPr>
          <t>Christiana Datubo-Brown:</t>
        </r>
        <r>
          <rPr>
            <sz val="9"/>
            <color indexed="81"/>
            <rFont val="Tahoma"/>
            <charset val="1"/>
          </rPr>
          <t xml:space="preserve">
</t>
        </r>
      </text>
    </comment>
    <comment ref="R67" authorId="1" shapeId="0" xr:uid="{567FD0DD-5E8A-4104-B39C-F40DD7F7F639}">
      <text>
        <r>
          <rPr>
            <b/>
            <sz val="9"/>
            <color indexed="81"/>
            <rFont val="Tahoma"/>
            <charset val="1"/>
          </rPr>
          <t>Christiana Datubo-Brown:</t>
        </r>
        <r>
          <rPr>
            <sz val="9"/>
            <color indexed="81"/>
            <rFont val="Tahoma"/>
            <charset val="1"/>
          </rPr>
          <t xml:space="preserve">
</t>
        </r>
      </text>
    </comment>
    <comment ref="C68" authorId="2" shapeId="0" xr:uid="{00000000-0006-0000-0100-000001000000}">
      <text>
        <r>
          <rPr>
            <b/>
            <sz val="10"/>
            <color indexed="81"/>
            <rFont val="Tahoma"/>
            <family val="2"/>
          </rPr>
          <t>jmarks:</t>
        </r>
        <r>
          <rPr>
            <sz val="10"/>
            <color indexed="81"/>
            <rFont val="Tahoma"/>
            <family val="2"/>
          </rPr>
          <t xml:space="preserve">
Note manual entry.</t>
        </r>
      </text>
    </comment>
    <comment ref="D68" authorId="2" shapeId="0" xr:uid="{00000000-0006-0000-0100-000002000000}">
      <text>
        <r>
          <rPr>
            <b/>
            <sz val="10"/>
            <color indexed="81"/>
            <rFont val="Tahoma"/>
            <family val="2"/>
          </rPr>
          <t>jmarks:</t>
        </r>
        <r>
          <rPr>
            <sz val="10"/>
            <color indexed="81"/>
            <rFont val="Tahoma"/>
            <family val="2"/>
          </rPr>
          <t xml:space="preserve">
Note manual entry.</t>
        </r>
      </text>
    </comment>
    <comment ref="E68" authorId="2" shapeId="0" xr:uid="{00000000-0006-0000-0100-000003000000}">
      <text>
        <r>
          <rPr>
            <b/>
            <sz val="10"/>
            <color indexed="81"/>
            <rFont val="Tahoma"/>
            <family val="2"/>
          </rPr>
          <t>jmarks:</t>
        </r>
        <r>
          <rPr>
            <sz val="10"/>
            <color indexed="81"/>
            <rFont val="Tahoma"/>
            <family val="2"/>
          </rPr>
          <t xml:space="preserve">
Note manual entry.</t>
        </r>
      </text>
    </comment>
    <comment ref="F68" authorId="2" shapeId="0" xr:uid="{00000000-0006-0000-0100-000004000000}">
      <text>
        <r>
          <rPr>
            <b/>
            <sz val="10"/>
            <color indexed="81"/>
            <rFont val="Tahoma"/>
            <family val="2"/>
          </rPr>
          <t>jmarks:</t>
        </r>
        <r>
          <rPr>
            <sz val="10"/>
            <color indexed="81"/>
            <rFont val="Tahoma"/>
            <family val="2"/>
          </rPr>
          <t xml:space="preserve">
Note manual entry.</t>
        </r>
      </text>
    </comment>
    <comment ref="G68" authorId="2" shapeId="0" xr:uid="{00000000-0006-0000-0100-000005000000}">
      <text>
        <r>
          <rPr>
            <b/>
            <sz val="10"/>
            <color indexed="81"/>
            <rFont val="Tahoma"/>
            <family val="2"/>
          </rPr>
          <t>jmarks:</t>
        </r>
        <r>
          <rPr>
            <sz val="10"/>
            <color indexed="81"/>
            <rFont val="Tahoma"/>
            <family val="2"/>
          </rPr>
          <t xml:space="preserve">
Note manual entry.</t>
        </r>
      </text>
    </comment>
    <comment ref="H68" authorId="2" shapeId="0" xr:uid="{00000000-0006-0000-0100-000006000000}">
      <text>
        <r>
          <rPr>
            <b/>
            <sz val="10"/>
            <color indexed="81"/>
            <rFont val="Tahoma"/>
            <family val="2"/>
          </rPr>
          <t>jmarks:</t>
        </r>
        <r>
          <rPr>
            <sz val="10"/>
            <color indexed="81"/>
            <rFont val="Tahoma"/>
            <family val="2"/>
          </rPr>
          <t xml:space="preserve">
Note manual entry.</t>
        </r>
      </text>
    </comment>
    <comment ref="I68" authorId="2" shapeId="0" xr:uid="{00000000-0006-0000-0100-000007000000}">
      <text>
        <r>
          <rPr>
            <b/>
            <sz val="10"/>
            <color indexed="81"/>
            <rFont val="Tahoma"/>
            <family val="2"/>
          </rPr>
          <t>jmarks:</t>
        </r>
        <r>
          <rPr>
            <sz val="10"/>
            <color indexed="81"/>
            <rFont val="Tahoma"/>
            <family val="2"/>
          </rPr>
          <t xml:space="preserve">
Note manual entry.</t>
        </r>
      </text>
    </comment>
    <comment ref="J68" authorId="2" shapeId="0" xr:uid="{00000000-0006-0000-0100-000008000000}">
      <text>
        <r>
          <rPr>
            <b/>
            <sz val="10"/>
            <color indexed="81"/>
            <rFont val="Tahoma"/>
            <family val="2"/>
          </rPr>
          <t>jmarks:</t>
        </r>
        <r>
          <rPr>
            <sz val="10"/>
            <color indexed="81"/>
            <rFont val="Tahoma"/>
            <family val="2"/>
          </rPr>
          <t xml:space="preserve">
Note manual entry.</t>
        </r>
      </text>
    </comment>
    <comment ref="K68" authorId="2" shapeId="0" xr:uid="{00000000-0006-0000-0100-000009000000}">
      <text>
        <r>
          <rPr>
            <b/>
            <sz val="10"/>
            <color indexed="81"/>
            <rFont val="Tahoma"/>
            <family val="2"/>
          </rPr>
          <t>jmarks:</t>
        </r>
        <r>
          <rPr>
            <sz val="10"/>
            <color indexed="81"/>
            <rFont val="Tahoma"/>
            <family val="2"/>
          </rPr>
          <t xml:space="preserve">
Note manual entry.</t>
        </r>
      </text>
    </comment>
    <comment ref="L68" authorId="2" shapeId="0" xr:uid="{00000000-0006-0000-0100-00000A000000}">
      <text>
        <r>
          <rPr>
            <b/>
            <sz val="10"/>
            <color indexed="81"/>
            <rFont val="Tahoma"/>
            <family val="2"/>
          </rPr>
          <t>jmarks:</t>
        </r>
        <r>
          <rPr>
            <sz val="10"/>
            <color indexed="81"/>
            <rFont val="Tahoma"/>
            <family val="2"/>
          </rPr>
          <t xml:space="preserve">
Note manual entry.</t>
        </r>
      </text>
    </comment>
    <comment ref="M68" authorId="2" shapeId="0" xr:uid="{00000000-0006-0000-0100-00000B000000}">
      <text>
        <r>
          <rPr>
            <b/>
            <sz val="10"/>
            <color indexed="81"/>
            <rFont val="Tahoma"/>
            <family val="2"/>
          </rPr>
          <t>jmarks:</t>
        </r>
        <r>
          <rPr>
            <sz val="10"/>
            <color indexed="81"/>
            <rFont val="Tahoma"/>
            <family val="2"/>
          </rPr>
          <t xml:space="preserve">
Note manual entry.</t>
        </r>
      </text>
    </comment>
    <comment ref="N68" authorId="2" shapeId="0" xr:uid="{00000000-0006-0000-0100-00000C000000}">
      <text>
        <r>
          <rPr>
            <b/>
            <sz val="10"/>
            <color indexed="81"/>
            <rFont val="Tahoma"/>
            <family val="2"/>
          </rPr>
          <t>jmarks:</t>
        </r>
        <r>
          <rPr>
            <sz val="10"/>
            <color indexed="81"/>
            <rFont val="Tahoma"/>
            <family val="2"/>
          </rPr>
          <t xml:space="preserve">
Note manual entry.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200-000002000000}">
      <text>
        <r>
          <rPr>
            <b/>
            <sz val="8"/>
            <color indexed="81"/>
            <rFont val="Tahoma"/>
            <family val="2"/>
          </rPr>
          <t>jmarks:</t>
        </r>
        <r>
          <rPr>
            <sz val="8"/>
            <color indexed="81"/>
            <rFont val="Tahoma"/>
            <family val="2"/>
          </rPr>
          <t xml:space="preserve">
last year of old reporting standards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300-000002000000}">
      <text>
        <r>
          <rPr>
            <b/>
            <sz val="8"/>
            <color indexed="81"/>
            <rFont val="Tahoma"/>
            <family val="2"/>
          </rPr>
          <t>jmarks:</t>
        </r>
        <r>
          <rPr>
            <sz val="8"/>
            <color indexed="81"/>
            <rFont val="Tahoma"/>
            <family val="2"/>
          </rPr>
          <t xml:space="preserve">
last year of old reporting standards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O3" authorId="1" shapeId="0" xr:uid="{00000000-0006-0000-0400-000002000000}">
      <text>
        <r>
          <rPr>
            <b/>
            <sz val="10"/>
            <color indexed="81"/>
            <rFont val="Tahoma"/>
            <family val="2"/>
          </rPr>
          <t>jmarks:</t>
        </r>
        <r>
          <rPr>
            <sz val="10"/>
            <color indexed="81"/>
            <rFont val="Tahoma"/>
            <family val="2"/>
          </rPr>
          <t xml:space="preserve">
No longer available.(Aug. 2010)
</t>
        </r>
      </text>
    </comment>
    <comment ref="P3" authorId="1" shapeId="0" xr:uid="{00000000-0006-0000-0400-000003000000}">
      <text>
        <r>
          <rPr>
            <b/>
            <sz val="10"/>
            <color indexed="81"/>
            <rFont val="Tahoma"/>
            <family val="2"/>
          </rPr>
          <t>jmarks:</t>
        </r>
        <r>
          <rPr>
            <sz val="10"/>
            <color indexed="81"/>
            <rFont val="Tahoma"/>
            <family val="2"/>
          </rPr>
          <t xml:space="preserve">
Not available (Aug. 2010)
</t>
        </r>
      </text>
    </comment>
    <comment ref="Q3" authorId="1" shapeId="0" xr:uid="{00000000-0006-0000-04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400-000005000000}">
      <text>
        <r>
          <rPr>
            <b/>
            <sz val="8"/>
            <color indexed="81"/>
            <rFont val="Tahoma"/>
            <family val="2"/>
          </rPr>
          <t>jmarks:</t>
        </r>
        <r>
          <rPr>
            <sz val="8"/>
            <color indexed="81"/>
            <rFont val="Tahoma"/>
            <family val="2"/>
          </rPr>
          <t xml:space="preserve">
last year of old reporting standards
</t>
        </r>
      </text>
    </comment>
    <comment ref="K4" authorId="0" shapeId="0" xr:uid="{00000000-0006-0000-0400-000006000000}">
      <text>
        <r>
          <rPr>
            <b/>
            <sz val="10"/>
            <color indexed="81"/>
            <rFont val="Tahoma"/>
            <family val="2"/>
          </rPr>
          <t>JLM:</t>
        </r>
        <r>
          <rPr>
            <sz val="10"/>
            <color indexed="81"/>
            <rFont val="Tahoma"/>
            <family val="2"/>
          </rPr>
          <t xml:space="preserve">
orginal number lost; extrapolated
</t>
        </r>
      </text>
    </comment>
    <comment ref="L4" authorId="0" shapeId="0" xr:uid="{00000000-0006-0000-0400-000007000000}">
      <text>
        <r>
          <rPr>
            <b/>
            <sz val="10"/>
            <color indexed="81"/>
            <rFont val="Tahoma"/>
            <family val="2"/>
          </rPr>
          <t>JLM:</t>
        </r>
        <r>
          <rPr>
            <sz val="10"/>
            <color indexed="81"/>
            <rFont val="Tahoma"/>
            <family val="2"/>
          </rPr>
          <t xml:space="preserve">
orginal number lost; extrapolated
</t>
        </r>
      </text>
    </comment>
    <comment ref="N4" authorId="0" shapeId="0" xr:uid="{00000000-0006-0000-0400-000008000000}">
      <text>
        <r>
          <rPr>
            <b/>
            <sz val="10"/>
            <color indexed="81"/>
            <rFont val="Tahoma"/>
            <family val="2"/>
          </rPr>
          <t>JLM:</t>
        </r>
        <r>
          <rPr>
            <sz val="10"/>
            <color indexed="81"/>
            <rFont val="Tahoma"/>
            <family val="2"/>
          </rPr>
          <t xml:space="preserve">
orginal number lost; extrapolated
</t>
        </r>
      </text>
    </comment>
    <comment ref="S9" authorId="1" shapeId="0" xr:uid="{00000000-0006-0000-0400-000009000000}">
      <text>
        <r>
          <rPr>
            <b/>
            <sz val="8"/>
            <color indexed="81"/>
            <rFont val="Tahoma"/>
            <family val="2"/>
          </rPr>
          <t>jmarks:</t>
        </r>
        <r>
          <rPr>
            <sz val="8"/>
            <color indexed="81"/>
            <rFont val="Tahoma"/>
            <family val="2"/>
          </rPr>
          <t xml:space="preserve">
U Del had to be taken from FASB file</t>
        </r>
      </text>
    </comment>
    <comment ref="W9" authorId="1" shapeId="0" xr:uid="{00000000-0006-0000-0400-00000A000000}">
      <text>
        <r>
          <rPr>
            <b/>
            <sz val="8"/>
            <color indexed="81"/>
            <rFont val="Tahoma"/>
            <family val="2"/>
          </rPr>
          <t>jmarks:</t>
        </r>
        <r>
          <rPr>
            <sz val="8"/>
            <color indexed="81"/>
            <rFont val="Tahoma"/>
            <family val="2"/>
          </rPr>
          <t xml:space="preserve">
U Del had to be taken from FASB file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500-000002000000}">
      <text>
        <r>
          <rPr>
            <b/>
            <sz val="10"/>
            <color indexed="81"/>
            <rFont val="Tahoma"/>
            <family val="2"/>
          </rPr>
          <t>jmarks:</t>
        </r>
        <r>
          <rPr>
            <sz val="10"/>
            <color indexed="81"/>
            <rFont val="Tahoma"/>
            <family val="2"/>
          </rPr>
          <t xml:space="preserve">
Not available (Aug. 2010)
</t>
        </r>
      </text>
    </comment>
    <comment ref="Q3" authorId="1" shapeId="0" xr:uid="{00000000-0006-0000-05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500-000004000000}">
      <text>
        <r>
          <rPr>
            <b/>
            <sz val="8"/>
            <color indexed="81"/>
            <rFont val="Tahoma"/>
            <family val="2"/>
          </rPr>
          <t>jmarks:</t>
        </r>
        <r>
          <rPr>
            <sz val="8"/>
            <color indexed="81"/>
            <rFont val="Tahoma"/>
            <family val="2"/>
          </rPr>
          <t xml:space="preserve">
last year of old reporting standards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600-000002000000}">
      <text>
        <r>
          <rPr>
            <b/>
            <sz val="10"/>
            <color indexed="81"/>
            <rFont val="Tahoma"/>
            <family val="2"/>
          </rPr>
          <t>jmarks:</t>
        </r>
        <r>
          <rPr>
            <sz val="10"/>
            <color indexed="81"/>
            <rFont val="Tahoma"/>
            <family val="2"/>
          </rPr>
          <t xml:space="preserve">
Not available (Aug. 2010)
</t>
        </r>
      </text>
    </comment>
    <comment ref="Q3" authorId="1" shapeId="0" xr:uid="{00000000-0006-0000-06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6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600-000005000000}">
      <text>
        <r>
          <rPr>
            <b/>
            <sz val="8"/>
            <color indexed="81"/>
            <rFont val="Tahoma"/>
            <family val="2"/>
          </rPr>
          <t>jmarks:</t>
        </r>
        <r>
          <rPr>
            <sz val="8"/>
            <color indexed="81"/>
            <rFont val="Tahoma"/>
            <family val="2"/>
          </rPr>
          <t xml:space="preserve">
U Del taken from FASB file</t>
        </r>
      </text>
    </comment>
    <comment ref="W9" authorId="1" shapeId="0" xr:uid="{00000000-0006-0000-0600-000006000000}">
      <text>
        <r>
          <rPr>
            <b/>
            <sz val="8"/>
            <color indexed="81"/>
            <rFont val="Tahoma"/>
            <family val="2"/>
          </rPr>
          <t>jmarks:</t>
        </r>
        <r>
          <rPr>
            <sz val="8"/>
            <color indexed="81"/>
            <rFont val="Tahoma"/>
            <family val="2"/>
          </rPr>
          <t xml:space="preserve">
U Del taken from FASB file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700-000002000000}">
      <text>
        <r>
          <rPr>
            <b/>
            <sz val="10"/>
            <color indexed="81"/>
            <rFont val="Tahoma"/>
            <family val="2"/>
          </rPr>
          <t>jmarks:</t>
        </r>
        <r>
          <rPr>
            <sz val="10"/>
            <color indexed="81"/>
            <rFont val="Tahoma"/>
            <family val="2"/>
          </rPr>
          <t xml:space="preserve">
Not available (Aug. 2010)
</t>
        </r>
      </text>
    </comment>
    <comment ref="Q3" authorId="1" shapeId="0" xr:uid="{00000000-0006-0000-07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7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700-000005000000}">
      <text>
        <r>
          <rPr>
            <b/>
            <sz val="8"/>
            <color indexed="81"/>
            <rFont val="Tahoma"/>
            <family val="2"/>
          </rPr>
          <t>jmarks:</t>
        </r>
        <r>
          <rPr>
            <sz val="8"/>
            <color indexed="81"/>
            <rFont val="Tahoma"/>
            <family val="2"/>
          </rPr>
          <t xml:space="preserve">
U Del taken from FASB file</t>
        </r>
      </text>
    </comment>
    <comment ref="W9" authorId="1" shapeId="0" xr:uid="{00000000-0006-0000-0700-000006000000}">
      <text>
        <r>
          <rPr>
            <b/>
            <sz val="8"/>
            <color indexed="81"/>
            <rFont val="Tahoma"/>
            <family val="2"/>
          </rPr>
          <t>jmarks:</t>
        </r>
        <r>
          <rPr>
            <sz val="8"/>
            <color indexed="81"/>
            <rFont val="Tahoma"/>
            <family val="2"/>
          </rPr>
          <t xml:space="preserve">
U Del taken from FASB file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800-000002000000}">
      <text>
        <r>
          <rPr>
            <b/>
            <sz val="10"/>
            <color indexed="81"/>
            <rFont val="Tahoma"/>
            <family val="2"/>
          </rPr>
          <t>jmarks:</t>
        </r>
        <r>
          <rPr>
            <sz val="10"/>
            <color indexed="81"/>
            <rFont val="Tahoma"/>
            <family val="2"/>
          </rPr>
          <t xml:space="preserve">
Not available (Aug. 2010)
</t>
        </r>
      </text>
    </comment>
    <comment ref="Q3" authorId="1" shapeId="0" xr:uid="{00000000-0006-0000-08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8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800-000005000000}">
      <text>
        <r>
          <rPr>
            <b/>
            <sz val="8"/>
            <color indexed="81"/>
            <rFont val="Tahoma"/>
            <family val="2"/>
          </rPr>
          <t>jmarks:</t>
        </r>
        <r>
          <rPr>
            <sz val="8"/>
            <color indexed="81"/>
            <rFont val="Tahoma"/>
            <family val="2"/>
          </rPr>
          <t xml:space="preserve">
U Del from FASB file
</t>
        </r>
      </text>
    </comment>
    <comment ref="W9" authorId="1" shapeId="0" xr:uid="{00000000-0006-0000-0800-000006000000}">
      <text>
        <r>
          <rPr>
            <b/>
            <sz val="8"/>
            <color indexed="81"/>
            <rFont val="Tahoma"/>
            <family val="2"/>
          </rPr>
          <t>jmarks:</t>
        </r>
        <r>
          <rPr>
            <sz val="8"/>
            <color indexed="81"/>
            <rFont val="Tahoma"/>
            <family val="2"/>
          </rPr>
          <t xml:space="preserve">
U Del from FASB file
</t>
        </r>
      </text>
    </comment>
  </commentList>
</comments>
</file>

<file path=xl/sharedStrings.xml><?xml version="1.0" encoding="utf-8"?>
<sst xmlns="http://schemas.openxmlformats.org/spreadsheetml/2006/main" count="1422" uniqueCount="165">
  <si>
    <t xml:space="preserve">Table 94 </t>
  </si>
  <si>
    <r>
      <t>Percent Distribution of Revenues</t>
    </r>
    <r>
      <rPr>
        <vertAlign val="superscript"/>
        <sz val="10"/>
        <rFont val="Arial"/>
        <family val="2"/>
      </rPr>
      <t>1</t>
    </r>
  </si>
  <si>
    <t>at Public Four-Year Colleges and Universities</t>
  </si>
  <si>
    <t>2018-19</t>
  </si>
  <si>
    <t>Percentage-Point Change, 2013-14 to 2018-19</t>
  </si>
  <si>
    <t>2013-14</t>
  </si>
  <si>
    <t>Tuition</t>
  </si>
  <si>
    <t>Appropriations</t>
  </si>
  <si>
    <t>Contracts and Grants</t>
  </si>
  <si>
    <t>All</t>
  </si>
  <si>
    <t>and</t>
  </si>
  <si>
    <t xml:space="preserve">chk figures </t>
  </si>
  <si>
    <t>State + Local</t>
  </si>
  <si>
    <t>Fees</t>
  </si>
  <si>
    <t>State</t>
  </si>
  <si>
    <t>Local</t>
  </si>
  <si>
    <t xml:space="preserve">Federal </t>
  </si>
  <si>
    <r>
      <t>Other</t>
    </r>
    <r>
      <rPr>
        <vertAlign val="superscript"/>
        <sz val="10"/>
        <rFont val="Arial"/>
        <family val="2"/>
      </rPr>
      <t>2</t>
    </r>
  </si>
  <si>
    <r>
      <t>Other</t>
    </r>
    <r>
      <rPr>
        <vertAlign val="superscript"/>
        <sz val="10"/>
        <rFont val="Arial"/>
        <family val="2"/>
      </rPr>
      <t>3</t>
    </r>
  </si>
  <si>
    <t>50 states and D.C.</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</si>
  <si>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</si>
  <si>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</si>
  <si>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</si>
  <si>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</si>
  <si>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</si>
  <si>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</si>
  <si>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</si>
  <si>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</si>
  <si>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</si>
  <si>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</si>
  <si>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</si>
  <si>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</si>
  <si>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</si>
  <si>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</si>
  <si>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</si>
  <si>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</si>
  <si>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</si>
  <si>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</si>
  <si>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</si>
  <si>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</si>
  <si>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</si>
  <si>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</si>
  <si>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</si>
  <si>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</si>
  <si>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</si>
  <si>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</si>
  <si>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</si>
  <si>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</si>
  <si>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</si>
  <si>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</si>
  <si>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</si>
  <si>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</si>
  <si>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</si>
  <si>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</si>
  <si>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</si>
  <si>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</si>
  <si>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</si>
  <si>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</si>
  <si>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</si>
  <si>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</si>
  <si>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</si>
  <si>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</si>
  <si>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</si>
  <si>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</si>
  <si>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</si>
  <si>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</si>
  <si>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</si>
  <si>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</si>
  <si>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</si>
  <si>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</si>
  <si>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</si>
  <si>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</si>
  <si>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</si>
  <si>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</si>
  <si>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</si>
  <si>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t xml:space="preserve">1 </t>
    </r>
    <r>
      <rPr>
        <sz val="10"/>
        <rFont val="Arial"/>
        <family val="2"/>
      </rPr>
      <t>Educational and general operating revenues consist of total revenues for current operations minus revenues from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</si>
  <si>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t>2</t>
    </r>
    <r>
      <rPr>
        <sz val="10"/>
        <rFont val="SWISS-C"/>
      </rPr>
      <t xml:space="preserve"> Includes state and local government contracts and grants and private gifts and grants.</t>
    </r>
  </si>
  <si>
    <r>
      <t xml:space="preserve">3 </t>
    </r>
    <r>
      <rPr>
        <sz val="10"/>
        <rFont val="Arial"/>
        <family val="2"/>
      </rPr>
      <t xml:space="preserve">Includes federal appropriations (other than contracts and grants), sales of educational activities and services, endowment and investment income, and other sources. </t>
    </r>
  </si>
  <si>
    <r>
      <t xml:space="preserve">Source: SREB analysis of National Center for Education Statistics finance survey </t>
    </r>
    <r>
      <rPr>
        <sz val="10"/>
        <rFont val="Calibri"/>
        <family val="2"/>
      </rPr>
      <t>—</t>
    </r>
    <r>
      <rPr>
        <sz val="10"/>
        <rFont val="Arial"/>
        <family val="2"/>
      </rPr>
      <t xml:space="preserve"> www.nces.ed.gov/ipeds.</t>
    </r>
  </si>
  <si>
    <t xml:space="preserve">  June 2021</t>
  </si>
  <si>
    <t>Table 95</t>
  </si>
  <si>
    <t xml:space="preserve">at Public Two-Year Colleges </t>
  </si>
  <si>
    <t>Percentage-Point Change 2013-14 to 2018-19</t>
  </si>
  <si>
    <t>Government</t>
  </si>
  <si>
    <t xml:space="preserve"> </t>
  </si>
  <si>
    <t>chk figures</t>
  </si>
  <si>
    <t>NA</t>
  </si>
  <si>
    <t>"*" indicates less than 0.005 percent.</t>
  </si>
  <si>
    <t xml:space="preserve">"NA" indicates not applicable. There was no institution of this SREB category in the state during the specified years. </t>
  </si>
  <si>
    <t>Source:</t>
  </si>
  <si>
    <r>
      <t xml:space="preserve">SREB analysis of National Center for Education Statistics finance surveys </t>
    </r>
    <r>
      <rPr>
        <sz val="10"/>
        <rFont val="Calibri"/>
        <family val="2"/>
      </rPr>
      <t>—</t>
    </r>
    <r>
      <rPr>
        <sz val="10"/>
        <rFont val="Arial"/>
        <family val="2"/>
      </rPr>
      <t xml:space="preserve"> www.nces.ed.gov/ipeds.</t>
    </r>
  </si>
  <si>
    <r>
      <t>2</t>
    </r>
    <r>
      <rPr>
        <sz val="10"/>
        <rFont val="SWISS-C"/>
      </rPr>
      <t xml:space="preserve"> Includes state and local government contracts, grants, and private gifts and grants.</t>
    </r>
  </si>
  <si>
    <t>Educational &amp; General (E&amp;G) / CORE Revenues, Public Institutions (000s)</t>
  </si>
  <si>
    <t>Total E&amp;G / CORE</t>
  </si>
  <si>
    <t xml:space="preserve">   as a percent of U.S.</t>
  </si>
  <si>
    <t xml:space="preserve"> * See Tuition tab for sources.</t>
  </si>
  <si>
    <t>Tuition and Fees</t>
  </si>
  <si>
    <t xml:space="preserve"> * All</t>
  </si>
  <si>
    <t>National</t>
  </si>
  <si>
    <t>Source: SREB analysis of unpublished</t>
  </si>
  <si>
    <t xml:space="preserve">SREB analysis of National Center for </t>
  </si>
  <si>
    <t>DE Source: NSF</t>
  </si>
  <si>
    <t>Source: unpublished NCES</t>
  </si>
  <si>
    <t>Other =</t>
  </si>
  <si>
    <t>Center for</t>
  </si>
  <si>
    <t>NCES Finance data 91-92</t>
  </si>
  <si>
    <t xml:space="preserve">Education Statistics finance surveys — </t>
  </si>
  <si>
    <t xml:space="preserve">WebCASPAR </t>
  </si>
  <si>
    <t>Finance data 96-97</t>
  </si>
  <si>
    <t>Finance data 1999-2000</t>
  </si>
  <si>
    <t>Federal</t>
  </si>
  <si>
    <t>Education</t>
  </si>
  <si>
    <t>(analyzed March 2001)</t>
  </si>
  <si>
    <t>(www.nces.ed.gov/ipeds) and (http://caspar.nsf.gov).</t>
  </si>
  <si>
    <t>Database System.</t>
  </si>
  <si>
    <t>Statistics,</t>
  </si>
  <si>
    <t>+ Sales</t>
  </si>
  <si>
    <t>"Financial</t>
  </si>
  <si>
    <t>Statistics of</t>
  </si>
  <si>
    <t>Services</t>
  </si>
  <si>
    <t>Institutions</t>
  </si>
  <si>
    <t>of</t>
  </si>
  <si>
    <t>of Higher</t>
  </si>
  <si>
    <t>Educational</t>
  </si>
  <si>
    <t>Education,</t>
  </si>
  <si>
    <t>Activities</t>
  </si>
  <si>
    <t>Fiscal Year</t>
  </si>
  <si>
    <t>+ Other</t>
  </si>
  <si>
    <t>1991,"</t>
  </si>
  <si>
    <t>Sources +</t>
  </si>
  <si>
    <t>1984,"</t>
  </si>
  <si>
    <t>unpublished</t>
  </si>
  <si>
    <t>Independent</t>
  </si>
  <si>
    <t>data (1993).</t>
  </si>
  <si>
    <t>Operations</t>
  </si>
  <si>
    <t>data (1985).</t>
  </si>
  <si>
    <t>(Federally</t>
  </si>
  <si>
    <t>Supported</t>
  </si>
  <si>
    <t>Research</t>
  </si>
  <si>
    <t>Development</t>
  </si>
  <si>
    <t>Centers).</t>
  </si>
  <si>
    <t>Local Appropriations</t>
  </si>
  <si>
    <t>State Appropriations</t>
  </si>
  <si>
    <t>1986</t>
  </si>
  <si>
    <t>2001</t>
  </si>
  <si>
    <t>2002</t>
  </si>
  <si>
    <t>2003</t>
  </si>
  <si>
    <t>2004</t>
  </si>
  <si>
    <t>2005</t>
  </si>
  <si>
    <t>2006</t>
  </si>
  <si>
    <t>2007</t>
  </si>
  <si>
    <t>2009</t>
  </si>
  <si>
    <t>2010</t>
  </si>
  <si>
    <t>2011</t>
  </si>
  <si>
    <t>Federal Contracts and Grants</t>
  </si>
  <si>
    <t>Other (state gvmt, local gvmt, private gift/grants) Contracts and Grants</t>
  </si>
  <si>
    <t>Endownment Income (through 2001) / Investment Income (after 2001)</t>
  </si>
  <si>
    <t>All Other E&amp;G Revenues (sales &amp; services of educational activities, federal appropriations, all other)</t>
  </si>
  <si>
    <t xml:space="preserve"> * All Other = Federal Appropriations + Sales and Services</t>
  </si>
  <si>
    <r>
      <t xml:space="preserve">of Educational Activities + Other Sources + </t>
    </r>
    <r>
      <rPr>
        <sz val="10"/>
        <color indexed="10"/>
        <rFont val="Arial"/>
        <family val="2"/>
      </rPr>
      <t>Independent</t>
    </r>
  </si>
  <si>
    <r>
      <t>Operations</t>
    </r>
    <r>
      <rPr>
        <sz val="10"/>
        <rFont val="Arial"/>
        <family val="2"/>
      </rPr>
      <t xml:space="preserve"> (Federally Supported Research and Development</t>
    </r>
  </si>
  <si>
    <t>Some years seem to be "total CF" others "E&amp;G"</t>
  </si>
  <si>
    <t>Clarify treatment of indp. Ops.</t>
  </si>
  <si>
    <t>Other (State gvmt, local gvmt, private gifts/grants) Contracts and Grants</t>
  </si>
  <si>
    <t>Endowment Income (through 2001) / Investment Income (after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</si>
</sst>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_)"/>
    <numFmt numFmtId="165" formatCode="#,##0.0_);\(#,##0.0\)"/>
    <numFmt numFmtId="166" formatCode="_(* #,##0_);_(* \(#,##0\);_(* &quot;-&quot;??_);_(@_)"/>
    <numFmt numFmtId="167" formatCode="#,##0.0"/>
    <numFmt numFmtId="168" formatCode="#,##0.0000_);\(#,##0.0000\)"/>
    <numFmt numFmtId="169" formatCode="#,##0.00000000_);\(#,##0.00000000\)"/>
    <numFmt numFmtId="170" formatCode="#,##0.000_);\(#,##0.000\)"/>
    <numFmt numFmtId="171" formatCode="#,##0.000"/>
    <numFmt numFmtId="172" formatCode="0.00_)"/>
  </numFmts>
  <fonts count="26">
    <font>
      <sz val="10"/>
      <name val="SWISS-C"/>
    </font>
    <font>
      <sz val="10"/>
      <color theme="1"/>
      <name val="Arial"/>
      <family val="2"/>
    </font>
    <font>
      <sz val="12"/>
      <name val="AGaramond"/>
      <family val="3"/>
    </font>
    <font>
      <sz val="10"/>
      <name val="SWISS-C"/>
    </font>
    <font>
      <sz val="10"/>
      <name val="Arial"/>
      <family val="2"/>
    </font>
    <font>
      <b/>
      <sz val="10"/>
      <name val="Arial"/>
      <family val="2"/>
    </font>
    <font>
      <vertAlign val="superscript"/>
      <sz val="10"/>
      <name val="Arial"/>
      <family val="2"/>
    </font>
    <font>
      <sz val="10"/>
      <color indexed="10"/>
      <name val="Arial"/>
      <family val="2"/>
    </font>
    <font>
      <sz val="8"/>
      <name val="SWISS-C"/>
    </font>
    <font>
      <sz val="10"/>
      <color indexed="0"/>
      <name val="Times New Roman"/>
      <family val="1"/>
    </font>
    <font>
      <u/>
      <sz val="10"/>
      <name val="Arial"/>
      <family val="2"/>
    </font>
    <font>
      <sz val="10"/>
      <color indexed="12"/>
      <name val="Arial"/>
      <family val="2"/>
    </font>
    <font>
      <sz val="8"/>
      <color indexed="81"/>
      <name val="Tahoma"/>
      <family val="2"/>
    </font>
    <font>
      <b/>
      <sz val="8"/>
      <color indexed="81"/>
      <name val="Tahoma"/>
      <family val="2"/>
    </font>
    <font>
      <i/>
      <sz val="10"/>
      <name val="Arial"/>
      <family val="2"/>
    </font>
    <font>
      <sz val="10"/>
      <name val="SWISS-C"/>
    </font>
    <font>
      <b/>
      <sz val="10"/>
      <color indexed="81"/>
      <name val="Tahoma"/>
      <family val="2"/>
    </font>
    <font>
      <sz val="10"/>
      <color indexed="81"/>
      <name val="Tahoma"/>
      <family val="2"/>
    </font>
    <font>
      <sz val="10"/>
      <color rgb="FF0000FF"/>
      <name val="Arial"/>
      <family val="2"/>
    </font>
    <font>
      <sz val="10"/>
      <color rgb="FF33CCFF"/>
      <name val="Arial"/>
      <family val="2"/>
    </font>
    <font>
      <sz val="10"/>
      <color rgb="FFFF0000"/>
      <name val="Arial"/>
      <family val="2"/>
    </font>
    <font>
      <u/>
      <sz val="10"/>
      <color rgb="FFFFFF00"/>
      <name val="Arial"/>
      <family val="2"/>
    </font>
    <font>
      <sz val="10"/>
      <name val="Calibri"/>
      <family val="2"/>
    </font>
    <font>
      <sz val="10"/>
      <color rgb="FFFF0000"/>
      <name val="SWISS-C"/>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s>
  <borders count="26">
    <border>
      <left/>
      <right/>
      <top/>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s>
  <cellStyleXfs count="3">
    <xf numFmtId="0" fontId="0" fillId="0" borderId="0">
      <alignment horizontal="left" wrapText="1"/>
    </xf>
    <xf numFmtId="43" fontId="2" fillId="0" borderId="0" applyFont="0" applyFill="0" applyBorder="0" applyAlignment="0" applyProtection="0"/>
    <xf numFmtId="9" fontId="3" fillId="0" borderId="0" applyFont="0" applyFill="0" applyBorder="0" applyAlignment="0" applyProtection="0"/>
  </cellStyleXfs>
  <cellXfs count="172">
    <xf numFmtId="37" fontId="0" fillId="0" borderId="0" xfId="0" applyNumberFormat="1" applyAlignment="1"/>
    <xf numFmtId="37" fontId="4" fillId="0" borderId="0" xfId="0" applyNumberFormat="1" applyFont="1" applyAlignment="1"/>
    <xf numFmtId="37" fontId="4" fillId="0" borderId="1" xfId="0" applyNumberFormat="1" applyFont="1" applyBorder="1" applyAlignment="1">
      <alignment horizontal="centerContinuous"/>
    </xf>
    <xf numFmtId="37" fontId="4" fillId="0" borderId="1" xfId="0" applyNumberFormat="1" applyFont="1" applyBorder="1" applyAlignment="1"/>
    <xf numFmtId="37" fontId="4" fillId="0" borderId="0" xfId="0" applyNumberFormat="1" applyFont="1" applyAlignment="1">
      <alignment horizontal="centerContinuous"/>
    </xf>
    <xf numFmtId="37" fontId="4" fillId="0" borderId="0" xfId="0" applyNumberFormat="1" applyFont="1" applyAlignment="1">
      <alignment horizontal="center"/>
    </xf>
    <xf numFmtId="37" fontId="4" fillId="0" borderId="0" xfId="0" applyNumberFormat="1" applyFont="1" applyAlignment="1">
      <alignment horizontal="left"/>
    </xf>
    <xf numFmtId="37" fontId="5" fillId="0" borderId="1" xfId="0" applyNumberFormat="1" applyFont="1" applyBorder="1" applyAlignment="1"/>
    <xf numFmtId="37" fontId="5" fillId="0" borderId="0" xfId="0" applyNumberFormat="1" applyFont="1" applyAlignment="1"/>
    <xf numFmtId="37" fontId="5" fillId="0" borderId="2" xfId="0" applyNumberFormat="1" applyFont="1" applyBorder="1" applyAlignment="1"/>
    <xf numFmtId="37" fontId="4" fillId="0" borderId="0" xfId="0" applyNumberFormat="1" applyFont="1" applyAlignment="1">
      <alignment horizontal="right"/>
    </xf>
    <xf numFmtId="37" fontId="4" fillId="0" borderId="0" xfId="0" applyNumberFormat="1" applyFont="1" applyAlignment="1">
      <alignment horizontal="fill"/>
    </xf>
    <xf numFmtId="37" fontId="4" fillId="0" borderId="2" xfId="0" applyNumberFormat="1" applyFont="1" applyBorder="1" applyAlignment="1"/>
    <xf numFmtId="165" fontId="4" fillId="0" borderId="0" xfId="0" applyNumberFormat="1" applyFont="1" applyAlignment="1"/>
    <xf numFmtId="165" fontId="0" fillId="0" borderId="0" xfId="0" applyNumberFormat="1" applyAlignment="1"/>
    <xf numFmtId="37" fontId="4" fillId="2" borderId="0" xfId="0" applyNumberFormat="1" applyFont="1" applyFill="1" applyAlignment="1"/>
    <xf numFmtId="164" fontId="4" fillId="2" borderId="0" xfId="0" applyNumberFormat="1" applyFont="1" applyFill="1" applyAlignment="1"/>
    <xf numFmtId="37" fontId="4" fillId="0" borderId="3" xfId="0" applyNumberFormat="1" applyFont="1" applyBorder="1" applyAlignment="1"/>
    <xf numFmtId="37" fontId="4" fillId="0" borderId="4" xfId="0" applyNumberFormat="1" applyFont="1" applyBorder="1" applyAlignment="1">
      <alignment horizontal="centerContinuous"/>
    </xf>
    <xf numFmtId="37" fontId="4" fillId="0" borderId="5" xfId="0" applyNumberFormat="1" applyFont="1" applyBorder="1" applyAlignment="1">
      <alignment horizontal="center"/>
    </xf>
    <xf numFmtId="166" fontId="0" fillId="0" borderId="0" xfId="1" applyNumberFormat="1" applyFont="1"/>
    <xf numFmtId="0" fontId="9" fillId="0" borderId="0" xfId="0" applyFont="1" applyAlignment="1">
      <alignment horizontal="left"/>
    </xf>
    <xf numFmtId="165" fontId="10" fillId="2" borderId="0" xfId="0" applyNumberFormat="1" applyFont="1" applyFill="1" applyAlignment="1">
      <alignment horizontal="right"/>
    </xf>
    <xf numFmtId="37" fontId="14" fillId="0" borderId="0" xfId="0" applyNumberFormat="1" applyFont="1" applyAlignment="1">
      <alignment horizontal="right"/>
    </xf>
    <xf numFmtId="164" fontId="4" fillId="0" borderId="0" xfId="0" applyNumberFormat="1" applyFont="1" applyAlignment="1">
      <alignment horizontal="right"/>
    </xf>
    <xf numFmtId="164" fontId="4" fillId="0" borderId="5" xfId="0" applyNumberFormat="1" applyFont="1" applyBorder="1" applyAlignment="1">
      <alignment horizontal="right"/>
    </xf>
    <xf numFmtId="164" fontId="4" fillId="0" borderId="6" xfId="0" applyNumberFormat="1" applyFont="1" applyBorder="1" applyAlignment="1">
      <alignment horizontal="right"/>
    </xf>
    <xf numFmtId="166" fontId="3" fillId="0" borderId="0" xfId="1" applyNumberFormat="1" applyFont="1"/>
    <xf numFmtId="37" fontId="4" fillId="0" borderId="7" xfId="0" applyNumberFormat="1" applyFont="1" applyBorder="1" applyAlignment="1">
      <alignment horizontal="centerContinuous"/>
    </xf>
    <xf numFmtId="37" fontId="4" fillId="0" borderId="8" xfId="0" applyNumberFormat="1" applyFont="1" applyBorder="1" applyAlignment="1">
      <alignment horizontal="centerContinuous"/>
    </xf>
    <xf numFmtId="37" fontId="4" fillId="0" borderId="9" xfId="0" applyNumberFormat="1" applyFont="1" applyBorder="1" applyAlignment="1"/>
    <xf numFmtId="0" fontId="4" fillId="0" borderId="0" xfId="0" quotePrefix="1" applyFont="1" applyAlignment="1">
      <alignment horizontal="right"/>
    </xf>
    <xf numFmtId="0" fontId="4" fillId="0" borderId="0" xfId="0" applyFont="1" applyAlignment="1"/>
    <xf numFmtId="17" fontId="4" fillId="0" borderId="0" xfId="0" quotePrefix="1" applyNumberFormat="1" applyFont="1" applyAlignment="1">
      <alignment horizontal="right"/>
    </xf>
    <xf numFmtId="165" fontId="4" fillId="0" borderId="0" xfId="0" applyNumberFormat="1" applyFont="1" applyAlignment="1">
      <alignment horizontal="left" vertical="top"/>
    </xf>
    <xf numFmtId="37" fontId="0" fillId="0" borderId="0" xfId="0" applyNumberFormat="1" applyAlignment="1">
      <alignment vertical="top"/>
    </xf>
    <xf numFmtId="37" fontId="15" fillId="0" borderId="0" xfId="0" applyNumberFormat="1" applyFont="1" applyAlignment="1"/>
    <xf numFmtId="164" fontId="4" fillId="0" borderId="0" xfId="0" applyNumberFormat="1" applyFont="1" applyAlignment="1">
      <alignment horizontal="center"/>
    </xf>
    <xf numFmtId="166" fontId="4" fillId="0" borderId="0" xfId="0" applyNumberFormat="1" applyFont="1">
      <alignment horizontal="left" wrapText="1"/>
    </xf>
    <xf numFmtId="0" fontId="4" fillId="0" borderId="0" xfId="0" applyFont="1" applyAlignment="1">
      <alignment horizontal="left"/>
    </xf>
    <xf numFmtId="166" fontId="0" fillId="0" borderId="9" xfId="1" applyNumberFormat="1" applyFont="1" applyBorder="1"/>
    <xf numFmtId="37" fontId="0" fillId="0" borderId="0" xfId="0" applyNumberFormat="1" applyAlignment="1">
      <alignment wrapText="1"/>
    </xf>
    <xf numFmtId="37" fontId="11" fillId="0" borderId="0" xfId="0" applyNumberFormat="1" applyFont="1" applyAlignment="1"/>
    <xf numFmtId="0" fontId="4" fillId="0" borderId="0" xfId="0" applyFont="1" applyAlignment="1">
      <alignment horizontal="right"/>
    </xf>
    <xf numFmtId="37" fontId="4" fillId="0" borderId="13" xfId="0" applyNumberFormat="1" applyFont="1" applyBorder="1" applyAlignment="1">
      <alignment horizontal="centerContinuous"/>
    </xf>
    <xf numFmtId="164" fontId="4" fillId="3" borderId="0" xfId="0" applyNumberFormat="1" applyFont="1" applyFill="1" applyAlignment="1">
      <alignment horizontal="right"/>
    </xf>
    <xf numFmtId="164" fontId="4" fillId="3" borderId="5" xfId="0" applyNumberFormat="1" applyFont="1" applyFill="1" applyBorder="1" applyAlignment="1">
      <alignment horizontal="right"/>
    </xf>
    <xf numFmtId="164" fontId="4" fillId="3" borderId="6" xfId="0" applyNumberFormat="1" applyFont="1" applyFill="1" applyBorder="1" applyAlignment="1">
      <alignment horizontal="right"/>
    </xf>
    <xf numFmtId="37" fontId="5" fillId="0" borderId="0" xfId="0" applyNumberFormat="1" applyFont="1" applyAlignment="1">
      <alignment horizontal="right"/>
    </xf>
    <xf numFmtId="165" fontId="4" fillId="2" borderId="0" xfId="0" applyNumberFormat="1" applyFont="1" applyFill="1" applyAlignment="1">
      <alignment horizontal="left"/>
    </xf>
    <xf numFmtId="0" fontId="4" fillId="0" borderId="5" xfId="0" quotePrefix="1" applyFont="1" applyBorder="1" applyAlignment="1">
      <alignment horizontal="right"/>
    </xf>
    <xf numFmtId="37" fontId="4" fillId="0" borderId="5" xfId="0" applyNumberFormat="1" applyFont="1" applyBorder="1" applyAlignment="1"/>
    <xf numFmtId="166" fontId="4" fillId="0" borderId="5" xfId="0" applyNumberFormat="1" applyFont="1" applyBorder="1">
      <alignment horizontal="left" wrapText="1"/>
    </xf>
    <xf numFmtId="37" fontId="4" fillId="0" borderId="14" xfId="0" applyNumberFormat="1" applyFont="1" applyBorder="1" applyAlignment="1"/>
    <xf numFmtId="166" fontId="0" fillId="0" borderId="14" xfId="1" applyNumberFormat="1" applyFont="1" applyBorder="1"/>
    <xf numFmtId="37" fontId="4" fillId="0" borderId="15" xfId="0" applyNumberFormat="1" applyFont="1" applyBorder="1" applyAlignment="1"/>
    <xf numFmtId="0" fontId="4" fillId="0" borderId="14" xfId="0" applyFont="1" applyBorder="1" applyAlignment="1"/>
    <xf numFmtId="37" fontId="4" fillId="0" borderId="0" xfId="0" quotePrefix="1" applyNumberFormat="1" applyFont="1" applyAlignment="1">
      <alignment horizontal="fill"/>
    </xf>
    <xf numFmtId="37" fontId="18" fillId="0" borderId="0" xfId="0" applyNumberFormat="1" applyFont="1" applyAlignment="1"/>
    <xf numFmtId="3" fontId="18" fillId="0" borderId="0" xfId="0" applyNumberFormat="1" applyFont="1" applyAlignment="1">
      <alignment horizontal="right" wrapText="1"/>
    </xf>
    <xf numFmtId="37" fontId="18" fillId="0" borderId="14" xfId="0" applyNumberFormat="1" applyFont="1" applyBorder="1" applyAlignment="1"/>
    <xf numFmtId="3" fontId="18" fillId="0" borderId="14" xfId="0" applyNumberFormat="1" applyFont="1" applyBorder="1" applyAlignment="1">
      <alignment horizontal="right" wrapText="1"/>
    </xf>
    <xf numFmtId="37" fontId="18" fillId="0" borderId="9" xfId="0" applyNumberFormat="1" applyFont="1" applyBorder="1" applyAlignment="1"/>
    <xf numFmtId="37" fontId="1" fillId="0" borderId="14" xfId="0" applyNumberFormat="1" applyFont="1" applyBorder="1" applyAlignment="1"/>
    <xf numFmtId="166" fontId="4" fillId="0" borderId="0" xfId="1" applyNumberFormat="1" applyFont="1" applyAlignment="1">
      <alignment horizontal="right"/>
    </xf>
    <xf numFmtId="37" fontId="11" fillId="0" borderId="14" xfId="0" applyNumberFormat="1" applyFont="1" applyBorder="1" applyAlignment="1"/>
    <xf numFmtId="3" fontId="18" fillId="0" borderId="15" xfId="0" applyNumberFormat="1" applyFont="1" applyBorder="1" applyAlignment="1">
      <alignment horizontal="right" wrapText="1"/>
    </xf>
    <xf numFmtId="37" fontId="18" fillId="0" borderId="5" xfId="0" applyNumberFormat="1" applyFont="1" applyBorder="1" applyAlignment="1"/>
    <xf numFmtId="37" fontId="4" fillId="0" borderId="16" xfId="0" applyNumberFormat="1" applyFont="1" applyBorder="1" applyAlignment="1"/>
    <xf numFmtId="3" fontId="4" fillId="0" borderId="9" xfId="0" applyNumberFormat="1" applyFont="1" applyBorder="1" applyAlignment="1"/>
    <xf numFmtId="3" fontId="4" fillId="0" borderId="0" xfId="0" applyNumberFormat="1" applyFont="1" applyAlignment="1"/>
    <xf numFmtId="3" fontId="4" fillId="4" borderId="0" xfId="0" applyNumberFormat="1" applyFont="1" applyFill="1" applyAlignment="1"/>
    <xf numFmtId="3" fontId="4" fillId="4" borderId="9" xfId="0" applyNumberFormat="1" applyFont="1" applyFill="1" applyBorder="1" applyAlignment="1"/>
    <xf numFmtId="3" fontId="4" fillId="0" borderId="17" xfId="0" applyNumberFormat="1" applyFont="1" applyBorder="1" applyAlignment="1"/>
    <xf numFmtId="37" fontId="4" fillId="0" borderId="3" xfId="0" applyNumberFormat="1" applyFont="1" applyBorder="1" applyAlignment="1">
      <alignment horizontal="centerContinuous"/>
    </xf>
    <xf numFmtId="37" fontId="4" fillId="0" borderId="5" xfId="0" applyNumberFormat="1" applyFont="1" applyBorder="1" applyAlignment="1">
      <alignment horizontal="centerContinuous"/>
    </xf>
    <xf numFmtId="167" fontId="4" fillId="0" borderId="0" xfId="0" applyNumberFormat="1" applyFont="1" applyAlignment="1">
      <alignment horizontal="right"/>
    </xf>
    <xf numFmtId="167" fontId="4" fillId="4" borderId="0" xfId="0" applyNumberFormat="1" applyFont="1" applyFill="1" applyAlignment="1">
      <alignment horizontal="right"/>
    </xf>
    <xf numFmtId="167" fontId="4" fillId="0" borderId="9" xfId="0" applyNumberFormat="1" applyFont="1" applyBorder="1" applyAlignment="1">
      <alignment horizontal="right"/>
    </xf>
    <xf numFmtId="167" fontId="4" fillId="4" borderId="9" xfId="0" applyNumberFormat="1" applyFont="1" applyFill="1" applyBorder="1" applyAlignment="1">
      <alignment horizontal="right"/>
    </xf>
    <xf numFmtId="167" fontId="4" fillId="0" borderId="17" xfId="0" applyNumberFormat="1" applyFont="1" applyBorder="1" applyAlignment="1">
      <alignment horizontal="right"/>
    </xf>
    <xf numFmtId="37" fontId="4" fillId="0" borderId="1" xfId="0" applyNumberFormat="1" applyFont="1" applyBorder="1" applyAlignment="1">
      <alignment horizontal="center"/>
    </xf>
    <xf numFmtId="167" fontId="4" fillId="0" borderId="16" xfId="0" applyNumberFormat="1" applyFont="1" applyBorder="1" applyAlignment="1">
      <alignment horizontal="right"/>
    </xf>
    <xf numFmtId="167" fontId="4" fillId="0" borderId="5" xfId="0" applyNumberFormat="1" applyFont="1" applyBorder="1" applyAlignment="1">
      <alignment horizontal="right"/>
    </xf>
    <xf numFmtId="167" fontId="4" fillId="4" borderId="5" xfId="0" applyNumberFormat="1" applyFont="1" applyFill="1" applyBorder="1" applyAlignment="1">
      <alignment horizontal="right"/>
    </xf>
    <xf numFmtId="167" fontId="4" fillId="4" borderId="16" xfId="0" applyNumberFormat="1" applyFont="1" applyFill="1" applyBorder="1" applyAlignment="1">
      <alignment horizontal="right"/>
    </xf>
    <xf numFmtId="167" fontId="4" fillId="0" borderId="18" xfId="0" applyNumberFormat="1" applyFont="1" applyBorder="1" applyAlignment="1">
      <alignment horizontal="right"/>
    </xf>
    <xf numFmtId="37" fontId="4" fillId="0" borderId="0" xfId="0" applyNumberFormat="1" applyFont="1" applyAlignment="1">
      <alignment vertical="top"/>
    </xf>
    <xf numFmtId="165" fontId="4" fillId="0" borderId="0" xfId="0" applyNumberFormat="1" applyFont="1" applyAlignment="1">
      <alignment vertical="top"/>
    </xf>
    <xf numFmtId="37" fontId="18" fillId="0" borderId="14" xfId="0" applyNumberFormat="1" applyFont="1" applyBorder="1" applyAlignment="1">
      <alignment horizontal="right"/>
    </xf>
    <xf numFmtId="37" fontId="18" fillId="0" borderId="0" xfId="0" applyNumberFormat="1" applyFont="1" applyAlignment="1">
      <alignment horizontal="right"/>
    </xf>
    <xf numFmtId="37" fontId="18" fillId="0" borderId="9" xfId="0" applyNumberFormat="1" applyFont="1" applyBorder="1" applyAlignment="1">
      <alignment horizontal="right"/>
    </xf>
    <xf numFmtId="0" fontId="18" fillId="0" borderId="14" xfId="0" applyFont="1" applyBorder="1" applyAlignment="1">
      <alignment horizontal="right"/>
    </xf>
    <xf numFmtId="37" fontId="0" fillId="0" borderId="0" xfId="0" applyNumberFormat="1" applyAlignment="1">
      <alignment horizontal="right"/>
    </xf>
    <xf numFmtId="165" fontId="0" fillId="0" borderId="19" xfId="0" applyNumberFormat="1" applyBorder="1" applyAlignment="1">
      <alignment horizontal="centerContinuous" wrapText="1"/>
    </xf>
    <xf numFmtId="165" fontId="0" fillId="0" borderId="20" xfId="0" applyNumberFormat="1" applyBorder="1" applyAlignment="1">
      <alignment horizontal="centerContinuous" wrapText="1"/>
    </xf>
    <xf numFmtId="37" fontId="4" fillId="0" borderId="1" xfId="0" applyNumberFormat="1" applyFont="1" applyBorder="1" applyAlignment="1">
      <alignment horizontal="centerContinuous" wrapText="1"/>
    </xf>
    <xf numFmtId="37" fontId="4" fillId="0" borderId="0" xfId="0" applyNumberFormat="1" applyFont="1" applyAlignment="1">
      <alignment horizontal="left" vertical="top" wrapText="1"/>
    </xf>
    <xf numFmtId="37" fontId="4" fillId="0" borderId="0" xfId="0" applyNumberFormat="1" applyFont="1" applyAlignment="1">
      <alignment wrapText="1"/>
    </xf>
    <xf numFmtId="165" fontId="0" fillId="0" borderId="0" xfId="0" applyNumberFormat="1" applyAlignment="1">
      <alignment wrapText="1"/>
    </xf>
    <xf numFmtId="167" fontId="4" fillId="0" borderId="9" xfId="0" quotePrefix="1" applyNumberFormat="1" applyFont="1" applyBorder="1" applyAlignment="1">
      <alignment horizontal="right"/>
    </xf>
    <xf numFmtId="165" fontId="4" fillId="2" borderId="18" xfId="0" applyNumberFormat="1" applyFont="1" applyFill="1" applyBorder="1" applyAlignment="1">
      <alignment horizontal="centerContinuous"/>
    </xf>
    <xf numFmtId="165" fontId="4" fillId="2" borderId="19" xfId="0" applyNumberFormat="1" applyFont="1" applyFill="1" applyBorder="1" applyAlignment="1">
      <alignment horizontal="centerContinuous"/>
    </xf>
    <xf numFmtId="164" fontId="4" fillId="2" borderId="5" xfId="0" applyNumberFormat="1" applyFont="1" applyFill="1" applyBorder="1" applyAlignment="1"/>
    <xf numFmtId="165" fontId="4" fillId="2" borderId="6" xfId="0" applyNumberFormat="1" applyFont="1" applyFill="1" applyBorder="1" applyAlignment="1"/>
    <xf numFmtId="164" fontId="4" fillId="2" borderId="16" xfId="0" applyNumberFormat="1" applyFont="1" applyFill="1" applyBorder="1" applyAlignment="1"/>
    <xf numFmtId="165" fontId="4" fillId="2" borderId="13" xfId="0" applyNumberFormat="1" applyFont="1" applyFill="1" applyBorder="1" applyAlignment="1"/>
    <xf numFmtId="37" fontId="4" fillId="0" borderId="18" xfId="0" applyNumberFormat="1" applyFont="1" applyBorder="1" applyAlignment="1"/>
    <xf numFmtId="37" fontId="4" fillId="0" borderId="19" xfId="0" applyNumberFormat="1" applyFont="1" applyBorder="1" applyAlignment="1"/>
    <xf numFmtId="165" fontId="4" fillId="0" borderId="5" xfId="0" applyNumberFormat="1" applyFont="1" applyBorder="1" applyAlignment="1"/>
    <xf numFmtId="165" fontId="4" fillId="0" borderId="6" xfId="0" applyNumberFormat="1" applyFont="1" applyBorder="1" applyAlignment="1"/>
    <xf numFmtId="165" fontId="4" fillId="0" borderId="16" xfId="0" applyNumberFormat="1" applyFont="1" applyBorder="1" applyAlignment="1"/>
    <xf numFmtId="165" fontId="4" fillId="0" borderId="13" xfId="0" applyNumberFormat="1" applyFont="1" applyBorder="1" applyAlignment="1"/>
    <xf numFmtId="165" fontId="4" fillId="0" borderId="18" xfId="0" applyNumberFormat="1" applyFont="1" applyBorder="1" applyAlignment="1"/>
    <xf numFmtId="165" fontId="4" fillId="0" borderId="19" xfId="0" applyNumberFormat="1" applyFont="1" applyBorder="1" applyAlignment="1"/>
    <xf numFmtId="167" fontId="4" fillId="0" borderId="13" xfId="0" applyNumberFormat="1" applyFont="1" applyBorder="1" applyAlignment="1">
      <alignment horizontal="right"/>
    </xf>
    <xf numFmtId="167" fontId="4" fillId="4" borderId="13" xfId="0" applyNumberFormat="1" applyFont="1" applyFill="1" applyBorder="1" applyAlignment="1">
      <alignment horizontal="right"/>
    </xf>
    <xf numFmtId="167" fontId="4" fillId="0" borderId="23" xfId="0" applyNumberFormat="1" applyFont="1" applyBorder="1" applyAlignment="1">
      <alignment horizontal="right"/>
    </xf>
    <xf numFmtId="167" fontId="4" fillId="4" borderId="23" xfId="0" applyNumberFormat="1" applyFont="1" applyFill="1" applyBorder="1" applyAlignment="1">
      <alignment horizontal="right"/>
    </xf>
    <xf numFmtId="167" fontId="4" fillId="0" borderId="6" xfId="0" applyNumberFormat="1" applyFont="1" applyBorder="1" applyAlignment="1">
      <alignment horizontal="right"/>
    </xf>
    <xf numFmtId="37" fontId="19" fillId="0" borderId="1" xfId="0" applyNumberFormat="1" applyFont="1" applyBorder="1" applyAlignment="1">
      <alignment horizontal="centerContinuous"/>
    </xf>
    <xf numFmtId="49" fontId="0" fillId="0" borderId="0" xfId="0" applyNumberFormat="1" applyAlignment="1">
      <alignment horizontal="right"/>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7" fontId="4" fillId="0" borderId="2" xfId="0" applyNumberFormat="1" applyFont="1" applyBorder="1" applyAlignment="1">
      <alignment horizontal="center"/>
    </xf>
    <xf numFmtId="37" fontId="4" fillId="0" borderId="7" xfId="0" applyNumberFormat="1" applyFont="1" applyBorder="1" applyAlignment="1">
      <alignment horizontal="center"/>
    </xf>
    <xf numFmtId="37" fontId="4" fillId="0" borderId="12" xfId="0" applyNumberFormat="1" applyFont="1" applyBorder="1" applyAlignment="1">
      <alignment horizontal="center"/>
    </xf>
    <xf numFmtId="37" fontId="10" fillId="2" borderId="5" xfId="0" applyNumberFormat="1" applyFont="1" applyFill="1" applyBorder="1" applyAlignment="1">
      <alignment horizontal="right"/>
    </xf>
    <xf numFmtId="165" fontId="10" fillId="2" borderId="6" xfId="0" applyNumberFormat="1" applyFont="1" applyFill="1" applyBorder="1" applyAlignment="1">
      <alignment horizontal="right"/>
    </xf>
    <xf numFmtId="165" fontId="10" fillId="2" borderId="5" xfId="0" applyNumberFormat="1" applyFont="1" applyFill="1" applyBorder="1" applyAlignment="1">
      <alignment horizontal="right"/>
    </xf>
    <xf numFmtId="167" fontId="4" fillId="0" borderId="24" xfId="0" applyNumberFormat="1" applyFont="1" applyBorder="1" applyAlignment="1">
      <alignment horizontal="right"/>
    </xf>
    <xf numFmtId="0" fontId="4" fillId="5" borderId="0" xfId="0" applyFont="1" applyFill="1" applyAlignment="1"/>
    <xf numFmtId="37" fontId="20" fillId="0" borderId="0" xfId="0" applyNumberFormat="1" applyFont="1" applyAlignment="1"/>
    <xf numFmtId="0" fontId="4" fillId="6" borderId="0" xfId="0" applyFont="1" applyFill="1" applyAlignment="1"/>
    <xf numFmtId="0" fontId="4" fillId="0" borderId="9" xfId="0" applyFont="1" applyBorder="1" applyAlignment="1"/>
    <xf numFmtId="4" fontId="4" fillId="0" borderId="25" xfId="0" applyNumberFormat="1" applyFont="1" applyBorder="1" applyAlignment="1">
      <alignment horizontal="right"/>
    </xf>
    <xf numFmtId="4" fontId="4" fillId="0" borderId="24" xfId="0" applyNumberFormat="1" applyFont="1" applyBorder="1" applyAlignment="1">
      <alignment horizontal="right"/>
    </xf>
    <xf numFmtId="165" fontId="21" fillId="2" borderId="6" xfId="0" applyNumberFormat="1" applyFont="1" applyFill="1" applyBorder="1" applyAlignment="1">
      <alignment horizontal="right"/>
    </xf>
    <xf numFmtId="37" fontId="4" fillId="7" borderId="0" xfId="0" applyNumberFormat="1" applyFont="1" applyFill="1" applyAlignment="1"/>
    <xf numFmtId="37" fontId="4" fillId="8" borderId="0" xfId="0" applyNumberFormat="1" applyFont="1" applyFill="1" applyAlignment="1"/>
    <xf numFmtId="37" fontId="18" fillId="8" borderId="0" xfId="0" applyNumberFormat="1" applyFont="1" applyFill="1" applyAlignment="1">
      <alignment horizontal="right"/>
    </xf>
    <xf numFmtId="37" fontId="23" fillId="0" borderId="0" xfId="0" applyNumberFormat="1" applyFont="1" applyAlignment="1">
      <alignment vertical="top"/>
    </xf>
    <xf numFmtId="0" fontId="4" fillId="9" borderId="0" xfId="0" applyFont="1" applyFill="1" applyAlignment="1"/>
    <xf numFmtId="168" fontId="4" fillId="0" borderId="0" xfId="0" applyNumberFormat="1" applyFont="1" applyAlignment="1"/>
    <xf numFmtId="169" fontId="4" fillId="0" borderId="0" xfId="0" applyNumberFormat="1" applyFont="1" applyAlignment="1"/>
    <xf numFmtId="9" fontId="4" fillId="0" borderId="0" xfId="2" applyFont="1" applyAlignment="1"/>
    <xf numFmtId="170" fontId="0" fillId="0" borderId="0" xfId="0" applyNumberFormat="1" applyAlignment="1"/>
    <xf numFmtId="170" fontId="4" fillId="0" borderId="0" xfId="0" applyNumberFormat="1" applyFont="1" applyAlignment="1">
      <alignment horizontal="right"/>
    </xf>
    <xf numFmtId="4" fontId="4" fillId="0" borderId="0" xfId="0" applyNumberFormat="1" applyFont="1" applyAlignment="1">
      <alignment horizontal="right"/>
    </xf>
    <xf numFmtId="171" fontId="4" fillId="0" borderId="0" xfId="0" applyNumberFormat="1" applyFont="1" applyAlignment="1">
      <alignment horizontal="right"/>
    </xf>
    <xf numFmtId="4" fontId="4" fillId="4" borderId="0" xfId="0" applyNumberFormat="1" applyFont="1" applyFill="1" applyAlignment="1">
      <alignment horizontal="right"/>
    </xf>
    <xf numFmtId="4" fontId="4" fillId="0" borderId="5" xfId="0" applyNumberFormat="1" applyFont="1" applyBorder="1" applyAlignment="1">
      <alignment horizontal="right"/>
    </xf>
    <xf numFmtId="4" fontId="4" fillId="4" borderId="5" xfId="0" applyNumberFormat="1" applyFont="1" applyFill="1" applyBorder="1" applyAlignment="1">
      <alignment horizontal="right"/>
    </xf>
    <xf numFmtId="171" fontId="4" fillId="4" borderId="0" xfId="0" applyNumberFormat="1" applyFont="1" applyFill="1" applyAlignment="1">
      <alignment horizontal="right"/>
    </xf>
    <xf numFmtId="172" fontId="4" fillId="0" borderId="6" xfId="0" applyNumberFormat="1" applyFont="1" applyBorder="1" applyAlignment="1">
      <alignment horizontal="right"/>
    </xf>
    <xf numFmtId="4" fontId="4" fillId="0" borderId="17" xfId="0" applyNumberFormat="1" applyFont="1" applyBorder="1" applyAlignment="1">
      <alignment horizontal="right"/>
    </xf>
    <xf numFmtId="0" fontId="4" fillId="0" borderId="0" xfId="0" applyFont="1" applyAlignment="1">
      <alignment vertical="top"/>
    </xf>
    <xf numFmtId="3" fontId="4" fillId="0" borderId="0" xfId="0" applyNumberFormat="1" applyFont="1" applyAlignment="1">
      <alignment horizontal="right" wrapText="1"/>
    </xf>
    <xf numFmtId="3" fontId="4" fillId="0" borderId="9" xfId="0" applyNumberFormat="1" applyFont="1" applyBorder="1" applyAlignment="1">
      <alignment horizontal="right" wrapText="1"/>
    </xf>
    <xf numFmtId="3" fontId="4" fillId="0" borderId="14" xfId="0" applyNumberFormat="1" applyFont="1" applyBorder="1" applyAlignment="1">
      <alignment horizontal="right" wrapText="1"/>
    </xf>
    <xf numFmtId="165" fontId="6" fillId="0" borderId="0" xfId="0" applyNumberFormat="1" applyFont="1" applyAlignment="1">
      <alignment horizontal="left" vertical="top" wrapText="1"/>
    </xf>
    <xf numFmtId="37" fontId="3" fillId="0" borderId="0" xfId="0" applyNumberFormat="1" applyFont="1" applyAlignment="1">
      <alignment vertical="top" wrapText="1"/>
    </xf>
    <xf numFmtId="165" fontId="4" fillId="0" borderId="0" xfId="0" applyNumberFormat="1" applyFont="1" applyAlignment="1">
      <alignment horizontal="left" vertical="top" wrapText="1"/>
    </xf>
    <xf numFmtId="37" fontId="0" fillId="0" borderId="0" xfId="0" applyNumberFormat="1" applyAlignment="1">
      <alignment wrapText="1"/>
    </xf>
    <xf numFmtId="37" fontId="4" fillId="0" borderId="7" xfId="0" applyNumberFormat="1" applyFont="1" applyBorder="1" applyAlignment="1">
      <alignment horizontal="center"/>
    </xf>
    <xf numFmtId="37" fontId="4" fillId="0" borderId="8" xfId="0" applyNumberFormat="1" applyFont="1" applyBorder="1" applyAlignment="1">
      <alignment horizontal="center"/>
    </xf>
    <xf numFmtId="37" fontId="0" fillId="0" borderId="0" xfId="0" applyNumberFormat="1" applyAlignment="1"/>
    <xf numFmtId="37" fontId="4" fillId="0" borderId="0" xfId="0" applyNumberFormat="1" applyFont="1" applyAlignment="1">
      <alignment horizontal="left" vertical="top" wrapText="1"/>
    </xf>
    <xf numFmtId="37" fontId="0" fillId="0" borderId="8" xfId="0" applyNumberFormat="1" applyBorder="1" applyAlignment="1">
      <alignment horizontal="center" wrapText="1"/>
    </xf>
    <xf numFmtId="37" fontId="0" fillId="0" borderId="22" xfId="0" applyNumberFormat="1" applyBorder="1" applyAlignment="1">
      <alignment horizontal="center" wrapText="1"/>
    </xf>
    <xf numFmtId="37" fontId="4" fillId="0" borderId="6" xfId="0" applyNumberFormat="1" applyFont="1" applyBorder="1" applyAlignment="1">
      <alignment horizontal="center" wrapText="1"/>
    </xf>
    <xf numFmtId="37" fontId="4" fillId="0" borderId="21" xfId="0" applyNumberFormat="1"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CC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Four-Year Colleges and Universities, 2018-19</a:t>
            </a:r>
          </a:p>
        </c:rich>
      </c:tx>
      <c:overlay val="0"/>
    </c:title>
    <c:autoTitleDeleted val="0"/>
    <c:plotArea>
      <c:layout/>
      <c:barChart>
        <c:barDir val="col"/>
        <c:grouping val="clustered"/>
        <c:varyColors val="0"/>
        <c:ser>
          <c:idx val="0"/>
          <c:order val="0"/>
          <c:tx>
            <c:strRef>
              <c:f>'TABLE 94'!$A$10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94'!$C$10:$H$10</c:f>
              <c:numCache>
                <c:formatCode>#,##0.0</c:formatCode>
                <c:ptCount val="6"/>
                <c:pt idx="0">
                  <c:v>39.446506432466194</c:v>
                </c:pt>
                <c:pt idx="1">
                  <c:v>20.055593221526692</c:v>
                </c:pt>
                <c:pt idx="2">
                  <c:v>0.15801981459270034</c:v>
                </c:pt>
                <c:pt idx="3">
                  <c:v>14.576762225025867</c:v>
                </c:pt>
                <c:pt idx="4">
                  <c:v>12.074477920800593</c:v>
                </c:pt>
                <c:pt idx="5">
                  <c:v>13.688640385587966</c:v>
                </c:pt>
              </c:numCache>
            </c:numRef>
          </c:val>
          <c:extLst>
            <c:ext xmlns:c16="http://schemas.microsoft.com/office/drawing/2014/chart" uri="{C3380CC4-5D6E-409C-BE32-E72D297353CC}">
              <c16:uniqueId val="{00000000-F1D9-4CD8-859C-AE744044CC8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94'!$C$11:$H$11</c:f>
              <c:numCache>
                <c:formatCode>#,##0.0</c:formatCode>
                <c:ptCount val="6"/>
                <c:pt idx="0">
                  <c:v>37.823582138123626</c:v>
                </c:pt>
                <c:pt idx="1">
                  <c:v>21.337908529052992</c:v>
                </c:pt>
                <c:pt idx="2" formatCode="#,##0.00">
                  <c:v>3.4760645454279267E-2</c:v>
                </c:pt>
                <c:pt idx="3">
                  <c:v>14.332226360454822</c:v>
                </c:pt>
                <c:pt idx="4">
                  <c:v>13.074039682149904</c:v>
                </c:pt>
                <c:pt idx="5">
                  <c:v>13.397482644764372</c:v>
                </c:pt>
              </c:numCache>
            </c:numRef>
          </c:val>
          <c:extLst>
            <c:ext xmlns:c16="http://schemas.microsoft.com/office/drawing/2014/chart" uri="{C3380CC4-5D6E-409C-BE32-E72D297353CC}">
              <c16:uniqueId val="{00000001-F1D9-4CD8-859C-AE744044CC8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94'!$C$13:$H$13</c:f>
              <c:numCache>
                <c:formatCode>#,##0.0</c:formatCode>
                <c:ptCount val="6"/>
                <c:pt idx="0">
                  <c:v>47.681669106017694</c:v>
                </c:pt>
                <c:pt idx="1">
                  <c:v>19.877085010410493</c:v>
                </c:pt>
                <c:pt idx="2">
                  <c:v>0</c:v>
                </c:pt>
                <c:pt idx="3">
                  <c:v>16.483435358473692</c:v>
                </c:pt>
                <c:pt idx="4">
                  <c:v>6.307626017075636</c:v>
                </c:pt>
                <c:pt idx="5">
                  <c:v>9.6501845080224982</c:v>
                </c:pt>
              </c:numCache>
            </c:numRef>
          </c:val>
          <c:extLst>
            <c:ext xmlns:c16="http://schemas.microsoft.com/office/drawing/2014/chart" uri="{C3380CC4-5D6E-409C-BE32-E72D297353CC}">
              <c16:uniqueId val="{00000002-F1D9-4CD8-859C-AE744044CC8B}"/>
            </c:ext>
          </c:extLst>
        </c:ser>
        <c:dLbls>
          <c:showLegendKey val="0"/>
          <c:showVal val="1"/>
          <c:showCatName val="0"/>
          <c:showSerName val="0"/>
          <c:showPercent val="0"/>
          <c:showBubbleSize val="0"/>
        </c:dLbls>
        <c:gapWidth val="150"/>
        <c:axId val="239198336"/>
        <c:axId val="239198720"/>
      </c:barChart>
      <c:catAx>
        <c:axId val="239198336"/>
        <c:scaling>
          <c:orientation val="minMax"/>
        </c:scaling>
        <c:delete val="0"/>
        <c:axPos val="b"/>
        <c:numFmt formatCode="General" sourceLinked="0"/>
        <c:majorTickMark val="out"/>
        <c:minorTickMark val="none"/>
        <c:tickLblPos val="nextTo"/>
        <c:txPr>
          <a:bodyPr/>
          <a:lstStyle/>
          <a:p>
            <a:pPr>
              <a:defRPr b="1"/>
            </a:pPr>
            <a:endParaRPr lang="en-US"/>
          </a:p>
        </c:txPr>
        <c:crossAx val="239198720"/>
        <c:crosses val="autoZero"/>
        <c:auto val="1"/>
        <c:lblAlgn val="ctr"/>
        <c:lblOffset val="100"/>
        <c:noMultiLvlLbl val="0"/>
      </c:catAx>
      <c:valAx>
        <c:axId val="239198720"/>
        <c:scaling>
          <c:orientation val="minMax"/>
        </c:scaling>
        <c:delete val="1"/>
        <c:axPos val="l"/>
        <c:numFmt formatCode="#,##0.0" sourceLinked="1"/>
        <c:majorTickMark val="out"/>
        <c:minorTickMark val="none"/>
        <c:tickLblPos val="none"/>
        <c:crossAx val="23919833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2013-14 to 2018-19</a:t>
            </a:r>
          </a:p>
        </c:rich>
      </c:tx>
      <c:overlay val="0"/>
    </c:title>
    <c:autoTitleDeleted val="0"/>
    <c:plotArea>
      <c:layout>
        <c:manualLayout>
          <c:layoutTarget val="inner"/>
          <c:xMode val="edge"/>
          <c:yMode val="edge"/>
          <c:x val="0.15116033158668776"/>
          <c:y val="0.18369214113888641"/>
          <c:w val="0.83261547773854139"/>
          <c:h val="0.79201636604793013"/>
        </c:manualLayout>
      </c:layout>
      <c:barChart>
        <c:barDir val="bar"/>
        <c:grouping val="clustered"/>
        <c:varyColors val="0"/>
        <c:ser>
          <c:idx val="0"/>
          <c:order val="0"/>
          <c:tx>
            <c:strRef>
              <c:f>'TABLE 94'!$A$10</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94'!$I$10:$N$10</c:f>
              <c:numCache>
                <c:formatCode>#,##0.0</c:formatCode>
                <c:ptCount val="6"/>
                <c:pt idx="0">
                  <c:v>1.8498382108652791</c:v>
                </c:pt>
                <c:pt idx="1">
                  <c:v>2.1199713203053037</c:v>
                </c:pt>
                <c:pt idx="2">
                  <c:v>6.2814989137840879E-2</c:v>
                </c:pt>
                <c:pt idx="3" formatCode="#,##0.00">
                  <c:v>-2.1971861193456235</c:v>
                </c:pt>
                <c:pt idx="4" formatCode="#,##0.00">
                  <c:v>5.6788995152926347E-2</c:v>
                </c:pt>
                <c:pt idx="5">
                  <c:v>-2.3477152444949017</c:v>
                </c:pt>
              </c:numCache>
            </c:numRef>
          </c:val>
          <c:extLst>
            <c:ext xmlns:c16="http://schemas.microsoft.com/office/drawing/2014/chart" uri="{C3380CC4-5D6E-409C-BE32-E72D297353CC}">
              <c16:uniqueId val="{00000000-9720-45BA-9D1F-10C982F1F92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94'!$I$11:$N$11</c:f>
              <c:numCache>
                <c:formatCode>#,##0.0</c:formatCode>
                <c:ptCount val="6"/>
                <c:pt idx="0">
                  <c:v>1.3260999518079686</c:v>
                </c:pt>
                <c:pt idx="1">
                  <c:v>-2.8998561753516299</c:v>
                </c:pt>
                <c:pt idx="2">
                  <c:v>-1.2409072476211196E-2</c:v>
                </c:pt>
                <c:pt idx="3">
                  <c:v>-1.9894753184913263</c:v>
                </c:pt>
                <c:pt idx="4">
                  <c:v>0.19911050969369803</c:v>
                </c:pt>
                <c:pt idx="5">
                  <c:v>3.376530104817494</c:v>
                </c:pt>
              </c:numCache>
            </c:numRef>
          </c:val>
          <c:extLst>
            <c:ext xmlns:c16="http://schemas.microsoft.com/office/drawing/2014/chart" uri="{C3380CC4-5D6E-409C-BE32-E72D297353CC}">
              <c16:uniqueId val="{00000001-9720-45BA-9D1F-10C982F1F92B}"/>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94'!$I$13:$N$13</c:f>
              <c:numCache>
                <c:formatCode>#,##0.0</c:formatCode>
                <c:ptCount val="6"/>
                <c:pt idx="0">
                  <c:v>5.4021392614094452</c:v>
                </c:pt>
                <c:pt idx="1">
                  <c:v>-2.9221688495092941</c:v>
                </c:pt>
                <c:pt idx="2">
                  <c:v>0</c:v>
                </c:pt>
                <c:pt idx="3">
                  <c:v>-0.93848197314533977</c:v>
                </c:pt>
                <c:pt idx="4">
                  <c:v>-2.1579353917478397</c:v>
                </c:pt>
                <c:pt idx="5">
                  <c:v>0.61644695299304431</c:v>
                </c:pt>
              </c:numCache>
            </c:numRef>
          </c:val>
          <c:extLst>
            <c:ext xmlns:c16="http://schemas.microsoft.com/office/drawing/2014/chart" uri="{C3380CC4-5D6E-409C-BE32-E72D297353CC}">
              <c16:uniqueId val="{00000002-9720-45BA-9D1F-10C982F1F92B}"/>
            </c:ext>
          </c:extLst>
        </c:ser>
        <c:dLbls>
          <c:showLegendKey val="0"/>
          <c:showVal val="1"/>
          <c:showCatName val="0"/>
          <c:showSerName val="0"/>
          <c:showPercent val="0"/>
          <c:showBubbleSize val="0"/>
        </c:dLbls>
        <c:gapWidth val="150"/>
        <c:overlap val="-25"/>
        <c:axId val="239171312"/>
        <c:axId val="240091856"/>
      </c:barChart>
      <c:catAx>
        <c:axId val="239171312"/>
        <c:scaling>
          <c:orientation val="maxMin"/>
        </c:scaling>
        <c:delete val="0"/>
        <c:axPos val="l"/>
        <c:numFmt formatCode="General" sourceLinked="0"/>
        <c:majorTickMark val="none"/>
        <c:minorTickMark val="none"/>
        <c:tickLblPos val="low"/>
        <c:txPr>
          <a:bodyPr/>
          <a:lstStyle/>
          <a:p>
            <a:pPr>
              <a:defRPr b="1"/>
            </a:pPr>
            <a:endParaRPr lang="en-US"/>
          </a:p>
        </c:txPr>
        <c:crossAx val="240091856"/>
        <c:crosses val="autoZero"/>
        <c:auto val="1"/>
        <c:lblAlgn val="ctr"/>
        <c:lblOffset val="100"/>
        <c:noMultiLvlLbl val="0"/>
      </c:catAx>
      <c:valAx>
        <c:axId val="240091856"/>
        <c:scaling>
          <c:orientation val="minMax"/>
        </c:scaling>
        <c:delete val="1"/>
        <c:axPos val="t"/>
        <c:numFmt formatCode="#,##0.0" sourceLinked="1"/>
        <c:majorTickMark val="out"/>
        <c:minorTickMark val="none"/>
        <c:tickLblPos val="none"/>
        <c:crossAx val="239171312"/>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Two-Year Colleges, 2018-19</a:t>
            </a:r>
          </a:p>
        </c:rich>
      </c:tx>
      <c:overlay val="0"/>
    </c:title>
    <c:autoTitleDeleted val="0"/>
    <c:plotArea>
      <c:layout/>
      <c:barChart>
        <c:barDir val="col"/>
        <c:grouping val="clustered"/>
        <c:varyColors val="0"/>
        <c:ser>
          <c:idx val="0"/>
          <c:order val="0"/>
          <c:tx>
            <c:strRef>
              <c:f>'TABLE 95'!$A$9</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95'!$C$9:$H$9</c:f>
              <c:numCache>
                <c:formatCode>#,##0.0</c:formatCode>
                <c:ptCount val="6"/>
                <c:pt idx="0">
                  <c:v>31.838041130483663</c:v>
                </c:pt>
                <c:pt idx="1">
                  <c:v>23.27118177743035</c:v>
                </c:pt>
                <c:pt idx="2">
                  <c:v>16.902642930183127</c:v>
                </c:pt>
                <c:pt idx="3">
                  <c:v>15.364708662461259</c:v>
                </c:pt>
                <c:pt idx="4">
                  <c:v>8.4663817817378089</c:v>
                </c:pt>
                <c:pt idx="5">
                  <c:v>4.1570437177037878</c:v>
                </c:pt>
              </c:numCache>
            </c:numRef>
          </c:val>
          <c:extLst>
            <c:ext xmlns:c16="http://schemas.microsoft.com/office/drawing/2014/chart" uri="{C3380CC4-5D6E-409C-BE32-E72D297353CC}">
              <c16:uniqueId val="{00000000-CD99-4535-89E8-A38D6C9EDA79}"/>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95'!$C$10:$H$10</c:f>
              <c:numCache>
                <c:formatCode>#,##0.0</c:formatCode>
                <c:ptCount val="6"/>
                <c:pt idx="0">
                  <c:v>35.686169602852956</c:v>
                </c:pt>
                <c:pt idx="1">
                  <c:v>25.438372509429115</c:v>
                </c:pt>
                <c:pt idx="2">
                  <c:v>12.616391912975716</c:v>
                </c:pt>
                <c:pt idx="3">
                  <c:v>18.461062132526258</c:v>
                </c:pt>
                <c:pt idx="4">
                  <c:v>4.9653615311726558</c:v>
                </c:pt>
                <c:pt idx="5">
                  <c:v>2.8326423110432919</c:v>
                </c:pt>
              </c:numCache>
            </c:numRef>
          </c:val>
          <c:extLst>
            <c:ext xmlns:c16="http://schemas.microsoft.com/office/drawing/2014/chart" uri="{C3380CC4-5D6E-409C-BE32-E72D297353CC}">
              <c16:uniqueId val="{00000001-CD99-4535-89E8-A38D6C9EDA79}"/>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95'!$C$12:$H$12</c:f>
              <c:numCache>
                <c:formatCode>#,##0.0</c:formatCode>
                <c:ptCount val="6"/>
                <c:pt idx="0">
                  <c:v>38.589772449807839</c:v>
                </c:pt>
                <c:pt idx="1">
                  <c:v>31.80152817466934</c:v>
                </c:pt>
                <c:pt idx="2">
                  <c:v>0.31114426017816466</c:v>
                </c:pt>
                <c:pt idx="3">
                  <c:v>22.913320089782658</c:v>
                </c:pt>
                <c:pt idx="4">
                  <c:v>4.4874975248327047</c:v>
                </c:pt>
                <c:pt idx="5">
                  <c:v>1.8967375007292897</c:v>
                </c:pt>
              </c:numCache>
            </c:numRef>
          </c:val>
          <c:extLst>
            <c:ext xmlns:c16="http://schemas.microsoft.com/office/drawing/2014/chart" uri="{C3380CC4-5D6E-409C-BE32-E72D297353CC}">
              <c16:uniqueId val="{00000002-CD99-4535-89E8-A38D6C9EDA79}"/>
            </c:ext>
          </c:extLst>
        </c:ser>
        <c:dLbls>
          <c:showLegendKey val="0"/>
          <c:showVal val="1"/>
          <c:showCatName val="0"/>
          <c:showSerName val="0"/>
          <c:showPercent val="0"/>
          <c:showBubbleSize val="0"/>
        </c:dLbls>
        <c:gapWidth val="150"/>
        <c:overlap val="-25"/>
        <c:axId val="239545720"/>
        <c:axId val="240107464"/>
      </c:barChart>
      <c:catAx>
        <c:axId val="239545720"/>
        <c:scaling>
          <c:orientation val="minMax"/>
        </c:scaling>
        <c:delete val="0"/>
        <c:axPos val="b"/>
        <c:numFmt formatCode="General" sourceLinked="0"/>
        <c:majorTickMark val="none"/>
        <c:minorTickMark val="none"/>
        <c:tickLblPos val="nextTo"/>
        <c:txPr>
          <a:bodyPr/>
          <a:lstStyle/>
          <a:p>
            <a:pPr>
              <a:defRPr b="1"/>
            </a:pPr>
            <a:endParaRPr lang="en-US"/>
          </a:p>
        </c:txPr>
        <c:crossAx val="240107464"/>
        <c:crosses val="autoZero"/>
        <c:auto val="1"/>
        <c:lblAlgn val="ctr"/>
        <c:lblOffset val="100"/>
        <c:noMultiLvlLbl val="0"/>
      </c:catAx>
      <c:valAx>
        <c:axId val="240107464"/>
        <c:scaling>
          <c:orientation val="minMax"/>
        </c:scaling>
        <c:delete val="1"/>
        <c:axPos val="l"/>
        <c:numFmt formatCode="#,##0.0" sourceLinked="1"/>
        <c:majorTickMark val="out"/>
        <c:minorTickMark val="none"/>
        <c:tickLblPos val="none"/>
        <c:crossAx val="2395457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2013-14 to 2018-19</a:t>
            </a:r>
          </a:p>
        </c:rich>
      </c:tx>
      <c:layout>
        <c:manualLayout>
          <c:xMode val="edge"/>
          <c:yMode val="edge"/>
          <c:x val="0.25130528085212189"/>
          <c:y val="1.6194328542121512E-2"/>
        </c:manualLayout>
      </c:layout>
      <c:overlay val="0"/>
    </c:title>
    <c:autoTitleDeleted val="0"/>
    <c:plotArea>
      <c:layout>
        <c:manualLayout>
          <c:layoutTarget val="inner"/>
          <c:xMode val="edge"/>
          <c:yMode val="edge"/>
          <c:x val="0.15116033158668782"/>
          <c:y val="0.18369214113888641"/>
          <c:w val="0.83261547773854172"/>
          <c:h val="0.79201636604792969"/>
        </c:manualLayout>
      </c:layout>
      <c:barChart>
        <c:barDir val="bar"/>
        <c:grouping val="clustered"/>
        <c:varyColors val="0"/>
        <c:ser>
          <c:idx val="0"/>
          <c:order val="0"/>
          <c:tx>
            <c:strRef>
              <c:f>'TABLE 95'!$A$9</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95'!$I$9:$N$9</c:f>
              <c:numCache>
                <c:formatCode>#,##0.0</c:formatCode>
                <c:ptCount val="6"/>
                <c:pt idx="0">
                  <c:v>2.9166372750769511</c:v>
                </c:pt>
                <c:pt idx="1">
                  <c:v>-1.5241416408889954</c:v>
                </c:pt>
                <c:pt idx="2">
                  <c:v>2.8095988673718324</c:v>
                </c:pt>
                <c:pt idx="3">
                  <c:v>-7.2374031154051135</c:v>
                </c:pt>
                <c:pt idx="4">
                  <c:v>2.1463744169135532</c:v>
                </c:pt>
                <c:pt idx="5">
                  <c:v>0.88893419693177789</c:v>
                </c:pt>
              </c:numCache>
            </c:numRef>
          </c:val>
          <c:extLst>
            <c:ext xmlns:c16="http://schemas.microsoft.com/office/drawing/2014/chart" uri="{C3380CC4-5D6E-409C-BE32-E72D297353CC}">
              <c16:uniqueId val="{00000000-9E9B-44AE-875B-BC25571A20CD}"/>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95'!$I$10:$N$10</c:f>
              <c:numCache>
                <c:formatCode>#,##0.0</c:formatCode>
                <c:ptCount val="6"/>
                <c:pt idx="0">
                  <c:v>5.9631364845274923</c:v>
                </c:pt>
                <c:pt idx="1">
                  <c:v>-1.6132992739602479</c:v>
                </c:pt>
                <c:pt idx="2">
                  <c:v>1.4656418222787568</c:v>
                </c:pt>
                <c:pt idx="3">
                  <c:v>-6.9437385718777556</c:v>
                </c:pt>
                <c:pt idx="4">
                  <c:v>0.24102296097716547</c:v>
                </c:pt>
                <c:pt idx="5">
                  <c:v>0.88723657805459633</c:v>
                </c:pt>
              </c:numCache>
            </c:numRef>
          </c:val>
          <c:extLst>
            <c:ext xmlns:c16="http://schemas.microsoft.com/office/drawing/2014/chart" uri="{C3380CC4-5D6E-409C-BE32-E72D297353CC}">
              <c16:uniqueId val="{00000001-9E9B-44AE-875B-BC25571A20CD}"/>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95'!$I$12:$N$12</c:f>
              <c:numCache>
                <c:formatCode>#,##0.0</c:formatCode>
                <c:ptCount val="6"/>
                <c:pt idx="0">
                  <c:v>5.7817685547509186</c:v>
                </c:pt>
                <c:pt idx="1">
                  <c:v>-0.22571772668303325</c:v>
                </c:pt>
                <c:pt idx="2">
                  <c:v>8.317757942993953E-2</c:v>
                </c:pt>
                <c:pt idx="3">
                  <c:v>-7.4041548299214206</c:v>
                </c:pt>
                <c:pt idx="4">
                  <c:v>1.3230508624240125</c:v>
                </c:pt>
                <c:pt idx="5">
                  <c:v>0.44187555999960404</c:v>
                </c:pt>
              </c:numCache>
            </c:numRef>
          </c:val>
          <c:extLst>
            <c:ext xmlns:c16="http://schemas.microsoft.com/office/drawing/2014/chart" uri="{C3380CC4-5D6E-409C-BE32-E72D297353CC}">
              <c16:uniqueId val="{00000002-9E9B-44AE-875B-BC25571A20CD}"/>
            </c:ext>
          </c:extLst>
        </c:ser>
        <c:dLbls>
          <c:showLegendKey val="0"/>
          <c:showVal val="1"/>
          <c:showCatName val="0"/>
          <c:showSerName val="0"/>
          <c:showPercent val="0"/>
          <c:showBubbleSize val="0"/>
        </c:dLbls>
        <c:gapWidth val="150"/>
        <c:overlap val="-25"/>
        <c:axId val="239357328"/>
        <c:axId val="239526000"/>
      </c:barChart>
      <c:catAx>
        <c:axId val="239357328"/>
        <c:scaling>
          <c:orientation val="maxMin"/>
        </c:scaling>
        <c:delete val="0"/>
        <c:axPos val="l"/>
        <c:numFmt formatCode="General" sourceLinked="0"/>
        <c:majorTickMark val="none"/>
        <c:minorTickMark val="none"/>
        <c:tickLblPos val="low"/>
        <c:txPr>
          <a:bodyPr/>
          <a:lstStyle/>
          <a:p>
            <a:pPr>
              <a:defRPr b="1"/>
            </a:pPr>
            <a:endParaRPr lang="en-US"/>
          </a:p>
        </c:txPr>
        <c:crossAx val="239526000"/>
        <c:crosses val="autoZero"/>
        <c:auto val="1"/>
        <c:lblAlgn val="ctr"/>
        <c:lblOffset val="100"/>
        <c:noMultiLvlLbl val="0"/>
      </c:catAx>
      <c:valAx>
        <c:axId val="239526000"/>
        <c:scaling>
          <c:orientation val="minMax"/>
        </c:scaling>
        <c:delete val="1"/>
        <c:axPos val="t"/>
        <c:numFmt formatCode="#,##0.0" sourceLinked="1"/>
        <c:majorTickMark val="out"/>
        <c:minorTickMark val="none"/>
        <c:tickLblPos val="none"/>
        <c:crossAx val="239357328"/>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31</xdr:col>
      <xdr:colOff>38099</xdr:colOff>
      <xdr:row>0</xdr:row>
      <xdr:rowOff>142875</xdr:rowOff>
    </xdr:from>
    <xdr:to>
      <xdr:col>44</xdr:col>
      <xdr:colOff>219075</xdr:colOff>
      <xdr:row>27</xdr:row>
      <xdr:rowOff>123825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38100</xdr:colOff>
      <xdr:row>29</xdr:row>
      <xdr:rowOff>95249</xdr:rowOff>
    </xdr:from>
    <xdr:to>
      <xdr:col>44</xdr:col>
      <xdr:colOff>228599</xdr:colOff>
      <xdr:row>58</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276225</xdr:colOff>
      <xdr:row>1</xdr:row>
      <xdr:rowOff>19050</xdr:rowOff>
    </xdr:from>
    <xdr:to>
      <xdr:col>47</xdr:col>
      <xdr:colOff>590550</xdr:colOff>
      <xdr:row>11</xdr:row>
      <xdr:rowOff>52915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4574500" y="180975"/>
          <a:ext cx="1609725" cy="1853140"/>
        </a:xfrm>
        <a:prstGeom prst="wedgeEllipseCallout">
          <a:avLst>
            <a:gd name="adj1" fmla="val -333881"/>
            <a:gd name="adj2" fmla="val 72688"/>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352425</xdr:colOff>
      <xdr:row>2</xdr:row>
      <xdr:rowOff>38100</xdr:rowOff>
    </xdr:from>
    <xdr:to>
      <xdr:col>44</xdr:col>
      <xdr:colOff>533401</xdr:colOff>
      <xdr:row>30</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361950</xdr:colOff>
      <xdr:row>32</xdr:row>
      <xdr:rowOff>142875</xdr:rowOff>
    </xdr:from>
    <xdr:to>
      <xdr:col>44</xdr:col>
      <xdr:colOff>552449</xdr:colOff>
      <xdr:row>61</xdr:row>
      <xdr:rowOff>152401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228600</xdr:colOff>
      <xdr:row>1</xdr:row>
      <xdr:rowOff>76200</xdr:rowOff>
    </xdr:from>
    <xdr:to>
      <xdr:col>47</xdr:col>
      <xdr:colOff>542925</xdr:colOff>
      <xdr:row>11</xdr:row>
      <xdr:rowOff>110065</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24669750" y="238125"/>
          <a:ext cx="1609725" cy="1853140"/>
        </a:xfrm>
        <a:prstGeom prst="wedgeEllipseCallout">
          <a:avLst>
            <a:gd name="adj1" fmla="val -261692"/>
            <a:gd name="adj2" fmla="val 7063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rgb="FFFF0000"/>
  </sheetPr>
  <dimension ref="A1:AF77"/>
  <sheetViews>
    <sheetView showGridLines="0" view="pageBreakPreview" zoomScale="92" zoomScaleNormal="100" zoomScaleSheetLayoutView="92" workbookViewId="0">
      <selection activeCell="I21" sqref="I21"/>
    </sheetView>
  </sheetViews>
  <sheetFormatPr defaultColWidth="9.7109375" defaultRowHeight="12.75"/>
  <cols>
    <col min="1" max="1" width="10" customWidth="1"/>
    <col min="2" max="2" width="6.42578125" customWidth="1"/>
    <col min="3" max="3" width="8.85546875" style="14" customWidth="1"/>
    <col min="4" max="5" width="8.7109375" customWidth="1"/>
    <col min="6" max="7" width="9.7109375" customWidth="1"/>
    <col min="8" max="8" width="8.7109375" customWidth="1"/>
    <col min="9" max="9" width="9.42578125" customWidth="1"/>
    <col min="10" max="10" width="8.7109375" customWidth="1"/>
    <col min="11" max="11" width="10" customWidth="1"/>
    <col min="12" max="12" width="10.7109375" customWidth="1"/>
    <col min="13" max="13" width="8.7109375" customWidth="1"/>
    <col min="14" max="14" width="8.5703125" customWidth="1"/>
    <col min="15" max="15" width="6.140625" customWidth="1"/>
    <col min="16" max="16" width="8.7109375" customWidth="1"/>
    <col min="17" max="17" width="7.7109375" customWidth="1"/>
    <col min="18" max="18" width="10.140625" customWidth="1"/>
    <col min="22" max="22" width="4" customWidth="1"/>
  </cols>
  <sheetData>
    <row r="1" spans="1:32">
      <c r="A1" s="6" t="s">
        <v>0</v>
      </c>
      <c r="B1" s="6"/>
      <c r="C1" s="4"/>
      <c r="D1" s="4"/>
      <c r="E1" s="4"/>
      <c r="F1" s="4"/>
      <c r="G1" s="4"/>
      <c r="I1" s="4"/>
      <c r="J1" s="4"/>
      <c r="K1" s="4"/>
      <c r="L1" s="4"/>
      <c r="M1" s="4"/>
      <c r="N1" s="4"/>
      <c r="O1" s="10"/>
      <c r="Q1" s="1"/>
      <c r="R1" s="1"/>
      <c r="S1" s="1"/>
      <c r="T1" s="1"/>
    </row>
    <row r="2" spans="1:32">
      <c r="A2" s="6"/>
      <c r="B2" s="6"/>
      <c r="C2" s="1"/>
      <c r="D2" s="1"/>
      <c r="E2" s="1"/>
      <c r="F2" s="1"/>
      <c r="G2" s="1"/>
      <c r="I2" s="4"/>
      <c r="J2" s="4"/>
      <c r="K2" s="4"/>
      <c r="L2" s="4"/>
      <c r="M2" s="4"/>
      <c r="N2" s="4"/>
      <c r="O2" s="23"/>
      <c r="Q2" s="1"/>
      <c r="R2" s="1"/>
      <c r="S2" s="1"/>
      <c r="T2" s="1"/>
    </row>
    <row r="3" spans="1:32" ht="14.25">
      <c r="A3" s="6" t="s">
        <v>1</v>
      </c>
      <c r="B3" s="6"/>
      <c r="C3" s="1"/>
      <c r="D3" s="1"/>
      <c r="E3" s="1"/>
      <c r="F3" s="1"/>
      <c r="G3" s="1"/>
      <c r="H3" s="1"/>
      <c r="I3" s="4"/>
      <c r="J3" s="4"/>
      <c r="K3" s="4"/>
      <c r="L3" s="4"/>
      <c r="M3" s="4"/>
      <c r="N3" s="4"/>
      <c r="O3" s="1"/>
      <c r="P3" s="1"/>
      <c r="Q3" s="143"/>
      <c r="R3" s="1"/>
      <c r="S3" s="1"/>
      <c r="T3" s="1"/>
    </row>
    <row r="4" spans="1:32">
      <c r="A4" s="6" t="s">
        <v>2</v>
      </c>
      <c r="B4" s="6"/>
      <c r="C4" s="1"/>
      <c r="D4" s="1"/>
      <c r="E4" s="1"/>
      <c r="F4" s="1"/>
      <c r="G4" s="1"/>
      <c r="H4" s="1"/>
      <c r="I4" s="4"/>
      <c r="J4" s="4"/>
      <c r="K4" s="4"/>
      <c r="L4" s="4"/>
      <c r="M4" s="4"/>
      <c r="N4" s="4"/>
      <c r="O4" s="1"/>
      <c r="P4" s="1"/>
      <c r="Q4" s="1"/>
      <c r="R4" s="1"/>
      <c r="S4" s="1"/>
      <c r="T4" s="1"/>
    </row>
    <row r="5" spans="1:32">
      <c r="A5" s="1"/>
      <c r="B5" s="1"/>
      <c r="C5" s="1"/>
      <c r="D5" s="1"/>
      <c r="E5" s="1"/>
      <c r="F5" s="1"/>
      <c r="G5" s="13"/>
      <c r="H5" s="1"/>
      <c r="I5" s="1"/>
      <c r="J5" s="1"/>
      <c r="K5" s="1"/>
      <c r="L5" s="1"/>
      <c r="M5" s="1"/>
      <c r="N5" s="1"/>
      <c r="O5" s="1"/>
      <c r="P5" s="14"/>
      <c r="Q5" s="146"/>
      <c r="W5" s="1"/>
      <c r="X5" s="1"/>
      <c r="Y5" s="1"/>
      <c r="Z5" s="1"/>
      <c r="AA5" s="1"/>
      <c r="AB5" s="1"/>
      <c r="AC5" s="1"/>
      <c r="AD5" s="1"/>
      <c r="AE5" s="1"/>
      <c r="AF5" s="1"/>
    </row>
    <row r="6" spans="1:32">
      <c r="A6" s="7"/>
      <c r="B6" s="7"/>
      <c r="C6" s="2" t="s">
        <v>3</v>
      </c>
      <c r="D6" s="2"/>
      <c r="E6" s="2"/>
      <c r="F6" s="2"/>
      <c r="G6" s="2"/>
      <c r="H6" s="2"/>
      <c r="I6" s="74" t="s">
        <v>4</v>
      </c>
      <c r="J6" s="2"/>
      <c r="K6" s="2"/>
      <c r="L6" s="2"/>
      <c r="M6" s="2"/>
      <c r="N6" s="2"/>
      <c r="O6" s="48"/>
      <c r="P6" s="2" t="s">
        <v>5</v>
      </c>
      <c r="Q6" s="2"/>
      <c r="R6" s="2"/>
      <c r="S6" s="120"/>
      <c r="T6" s="2"/>
      <c r="U6" s="2"/>
      <c r="V6" s="4"/>
      <c r="W6" s="4"/>
      <c r="X6" s="1"/>
      <c r="Y6" s="1"/>
      <c r="Z6" s="1"/>
      <c r="AA6" s="1"/>
      <c r="AB6" s="1"/>
      <c r="AC6" s="1"/>
      <c r="AD6" s="1"/>
      <c r="AE6" s="1"/>
      <c r="AF6" s="1"/>
    </row>
    <row r="7" spans="1:32" ht="12.75" customHeight="1">
      <c r="A7" s="8"/>
      <c r="B7" s="8"/>
      <c r="C7" s="94"/>
      <c r="D7" s="17"/>
      <c r="E7" s="18"/>
      <c r="F7" s="74"/>
      <c r="G7" s="18"/>
      <c r="H7" s="17"/>
      <c r="I7" s="95"/>
      <c r="J7" s="17"/>
      <c r="K7" s="18"/>
      <c r="L7" s="74"/>
      <c r="M7" s="18"/>
      <c r="N7" s="17"/>
      <c r="O7" s="48"/>
      <c r="P7" s="81" t="s">
        <v>6</v>
      </c>
      <c r="Q7" s="17"/>
      <c r="R7" s="18"/>
      <c r="S7" s="2"/>
      <c r="T7" s="18"/>
      <c r="U7" s="3"/>
      <c r="V7" s="1"/>
      <c r="W7" s="1"/>
      <c r="X7" s="1"/>
      <c r="Y7" s="1"/>
      <c r="Z7" s="1"/>
      <c r="AA7" s="1"/>
      <c r="AB7" s="1"/>
      <c r="AC7" s="1"/>
      <c r="AD7" s="1"/>
      <c r="AE7" s="1"/>
      <c r="AF7" s="1"/>
    </row>
    <row r="8" spans="1:32">
      <c r="A8" s="8"/>
      <c r="B8" s="8"/>
      <c r="C8" s="170" t="s">
        <v>96</v>
      </c>
      <c r="D8" s="28" t="s">
        <v>7</v>
      </c>
      <c r="E8" s="29"/>
      <c r="F8" s="75" t="s">
        <v>8</v>
      </c>
      <c r="G8" s="44"/>
      <c r="H8" s="19" t="s">
        <v>9</v>
      </c>
      <c r="I8" s="171" t="s">
        <v>96</v>
      </c>
      <c r="J8" s="28" t="s">
        <v>7</v>
      </c>
      <c r="K8" s="29"/>
      <c r="L8" s="75" t="s">
        <v>8</v>
      </c>
      <c r="M8" s="44"/>
      <c r="N8" s="19" t="s">
        <v>9</v>
      </c>
      <c r="O8" s="48"/>
      <c r="P8" s="5" t="s">
        <v>10</v>
      </c>
      <c r="Q8" s="28" t="s">
        <v>7</v>
      </c>
      <c r="R8" s="29"/>
      <c r="S8" s="4" t="s">
        <v>8</v>
      </c>
      <c r="T8" s="44"/>
      <c r="U8" s="5" t="s">
        <v>9</v>
      </c>
      <c r="V8" s="5"/>
      <c r="W8" s="101" t="s">
        <v>11</v>
      </c>
      <c r="X8" s="102"/>
      <c r="Y8" s="107" t="s">
        <v>12</v>
      </c>
      <c r="Z8" s="108"/>
      <c r="AA8" s="107" t="s">
        <v>8</v>
      </c>
      <c r="AB8" s="108"/>
      <c r="AC8" s="101" t="s">
        <v>11</v>
      </c>
      <c r="AD8" s="102"/>
      <c r="AE8" s="1"/>
      <c r="AF8" s="1"/>
    </row>
    <row r="9" spans="1:32" ht="14.25">
      <c r="A9" s="9"/>
      <c r="B9" s="9"/>
      <c r="C9" s="168"/>
      <c r="D9" s="122" t="s">
        <v>14</v>
      </c>
      <c r="E9" s="123" t="s">
        <v>15</v>
      </c>
      <c r="F9" s="122" t="s">
        <v>16</v>
      </c>
      <c r="G9" s="124" t="s">
        <v>17</v>
      </c>
      <c r="H9" s="125" t="s">
        <v>18</v>
      </c>
      <c r="I9" s="169"/>
      <c r="J9" s="122" t="s">
        <v>14</v>
      </c>
      <c r="K9" s="123" t="s">
        <v>15</v>
      </c>
      <c r="L9" s="122" t="s">
        <v>16</v>
      </c>
      <c r="M9" s="124" t="s">
        <v>17</v>
      </c>
      <c r="N9" s="125" t="s">
        <v>18</v>
      </c>
      <c r="O9" s="48"/>
      <c r="P9" s="124" t="s">
        <v>13</v>
      </c>
      <c r="Q9" s="122" t="s">
        <v>14</v>
      </c>
      <c r="R9" s="123" t="s">
        <v>15</v>
      </c>
      <c r="S9" s="126" t="s">
        <v>16</v>
      </c>
      <c r="T9" s="124" t="s">
        <v>17</v>
      </c>
      <c r="U9" s="125" t="s">
        <v>18</v>
      </c>
      <c r="V9" s="5"/>
      <c r="W9" s="127" t="s">
        <v>5</v>
      </c>
      <c r="X9" s="128" t="s">
        <v>3</v>
      </c>
      <c r="Y9" s="127" t="s">
        <v>5</v>
      </c>
      <c r="Z9" s="128" t="s">
        <v>3</v>
      </c>
      <c r="AA9" s="127" t="s">
        <v>5</v>
      </c>
      <c r="AB9" s="128" t="s">
        <v>3</v>
      </c>
      <c r="AC9" s="127" t="s">
        <v>5</v>
      </c>
      <c r="AD9" s="128" t="s">
        <v>3</v>
      </c>
      <c r="AE9" s="22"/>
      <c r="AF9" s="1"/>
    </row>
    <row r="10" spans="1:32">
      <c r="A10" s="69" t="s">
        <v>19</v>
      </c>
      <c r="B10" s="69"/>
      <c r="C10" s="78">
        <f>('Tuition-4Yr'!AK4/'Total E&amp;G-4yr'!AK4)*100</f>
        <v>39.446506432466194</v>
      </c>
      <c r="D10" s="82">
        <f>('State Appropriations-4Yr'!AK4)/('Total E&amp;G-4yr'!AK4)*100</f>
        <v>20.055593221526692</v>
      </c>
      <c r="E10" s="100">
        <f>IF((('Local Appropriations-4Yr'!AK4/'Total E&amp;G-4yr'!AK4)*100)=0,(('Local Appropriations-4Yr'!AK4/'Total E&amp;G-4yr'!AK4)*100),IF((('Local Appropriations-4Yr'!AK4/'Total E&amp;G-4yr'!AK4)*100)&gt;=0.05,('Local Appropriations-4Yr'!AK4/'Total E&amp;G-4yr'!AK4)*100,"*"))</f>
        <v>0.15801981459270034</v>
      </c>
      <c r="F10" s="82">
        <f>('Fed Contracts Grnts-4Yr'!AK4)/('Total E&amp;G-4yr'!AK4)*100</f>
        <v>14.576762225025867</v>
      </c>
      <c r="G10" s="78">
        <f>('Other Contract Grnts-4Yr'!AK4)/('Total E&amp;G-4yr'!AK4)*100</f>
        <v>12.074477920800593</v>
      </c>
      <c r="H10" s="82">
        <f>('All Other E&amp;G-4Yr'!AK4+'Investment Income-4Yr'!AK4)/('Total E&amp;G-4yr'!AK4)*100</f>
        <v>13.688640385587966</v>
      </c>
      <c r="I10" s="82">
        <f>IF((C10-P10)=0,(C10-P10),IF((C10-P10)&gt;=0.005,(C10-P10),IF((C10-P10&lt;=-0.005),(C10-P10),"**")))</f>
        <v>1.8498382108652791</v>
      </c>
      <c r="J10" s="82">
        <f>+Q10-D10</f>
        <v>2.1199713203053037</v>
      </c>
      <c r="K10" s="100">
        <f t="shared" ref="K10:M11" si="0">IF((E10-R10)=0,(E10-R10),IF((E10-R10)&gt;=0.005,(E10-R10),IF((E10-R10&lt;=-0.005),(E10-R10),"**")))</f>
        <v>6.2814989137840879E-2</v>
      </c>
      <c r="L10" s="135">
        <f t="shared" si="0"/>
        <v>-2.1971861193456235</v>
      </c>
      <c r="M10" s="136">
        <f t="shared" si="0"/>
        <v>5.6788995152926347E-2</v>
      </c>
      <c r="N10" s="82">
        <f>+U10-H10</f>
        <v>-2.3477152444949017</v>
      </c>
      <c r="O10" s="10"/>
      <c r="P10" s="24">
        <f>('Tuition-4Yr'!AF4/'Total E&amp;G-4yr'!AF4)*100</f>
        <v>37.596668221600915</v>
      </c>
      <c r="Q10" s="25">
        <f>('State Appropriations-4Yr'!AF4/'Total E&amp;G-4yr'!AF4)*100</f>
        <v>22.175564541831996</v>
      </c>
      <c r="R10" s="26">
        <f>IF((('Local Appropriations-4Yr'!AF4/'Total E&amp;G-4yr'!AF4)*100)=0,(('Local Appropriations-4Yr'!AF4/'Total E&amp;G-4yr'!AF4)*100),IF((('Local Appropriations-4Yr'!AF4/'Total E&amp;G-4yr'!AF4)*100)&gt;=0.005,(('Local Appropriations-4Yr'!AF4/'Total E&amp;G-4yr'!AF4)*100),"*"))</f>
        <v>9.5204825454859462E-2</v>
      </c>
      <c r="S10" s="24">
        <f>('Fed Contracts Grnts-4Yr'!AF4/'Total E&amp;G-4yr'!AF4)*100</f>
        <v>16.77394834437149</v>
      </c>
      <c r="T10" s="26">
        <f>('Other Contract Grnts-4Yr'!AF4/'Total E&amp;G-4yr'!AF4)*100</f>
        <v>12.017688925647667</v>
      </c>
      <c r="U10" s="24">
        <f>(('All Other E&amp;G-4Yr'!AF4+'Investment Income-4Yr'!AF4)/('Total E&amp;G-4yr'!AF4))*100</f>
        <v>11.340925141093065</v>
      </c>
      <c r="V10" s="24"/>
      <c r="W10" s="103">
        <f>SUM(P10:U10)</f>
        <v>99.999999999999986</v>
      </c>
      <c r="X10" s="104">
        <f>SUM(C10:H10)</f>
        <v>100</v>
      </c>
      <c r="Y10" s="109">
        <f>+Q10+R10</f>
        <v>22.270769367286857</v>
      </c>
      <c r="Z10" s="110">
        <f>+D10+E10</f>
        <v>20.213613036119394</v>
      </c>
      <c r="AA10" s="113">
        <f>+S10+T10</f>
        <v>28.791637270019159</v>
      </c>
      <c r="AB10" s="114">
        <f>+F10+G10</f>
        <v>26.65124014582646</v>
      </c>
      <c r="AC10" s="13">
        <f>+AA10+Y10++U10+P10</f>
        <v>100</v>
      </c>
      <c r="AD10" s="13">
        <f>+AB10+Z10+H10+C10</f>
        <v>100.00000000000001</v>
      </c>
      <c r="AE10" s="13"/>
      <c r="AF10" s="1"/>
    </row>
    <row r="11" spans="1:32">
      <c r="A11" s="70" t="s">
        <v>20</v>
      </c>
      <c r="B11" s="70"/>
      <c r="C11" s="76">
        <f>('Tuition-4Yr'!AK5/'Total E&amp;G-4yr'!AK5)*100</f>
        <v>37.823582138123626</v>
      </c>
      <c r="D11" s="83">
        <f>('State Appropriations-4Yr'!AK5)/('Total E&amp;G-4yr'!AK5)*100</f>
        <v>21.337908529052992</v>
      </c>
      <c r="E11" s="148">
        <f>('Local Appropriations-4Yr'!AK5/'Total E&amp;G-4yr'!AK5)*100</f>
        <v>3.4760645454279267E-2</v>
      </c>
      <c r="F11" s="83">
        <f>('Fed Contracts Grnts-4Yr'!AK5)/('Total E&amp;G-4yr'!AK5)*100</f>
        <v>14.332226360454822</v>
      </c>
      <c r="G11" s="76">
        <f>('Other Contract Grnts-4Yr'!AK5)/('Total E&amp;G-4yr'!AK5)*100</f>
        <v>13.074039682149904</v>
      </c>
      <c r="H11" s="83">
        <f>('All Other E&amp;G-4Yr'!AK5+'Investment Income-4Yr'!AK5)/('Total E&amp;G-4yr'!AK5)*100</f>
        <v>13.397482644764372</v>
      </c>
      <c r="I11" s="83">
        <f>IF((C11-P11)=0,(C11-P11),IF((C11-P11)&gt;=0.005,(C11-P11),IF((C11-P11&lt;=-0.005),(C11-P11),"**")))</f>
        <v>1.3260999518079686</v>
      </c>
      <c r="J11" s="83">
        <f>IF((D11-Q11)=0,(D11-Q11),IF((D11-Q11)&gt;=0.005,(D11-Q11),IF((D11-Q11&lt;=-0.005),(D11-Q11),"**")))</f>
        <v>-2.8998561753516299</v>
      </c>
      <c r="K11" s="76">
        <f t="shared" si="0"/>
        <v>-1.2409072476211196E-2</v>
      </c>
      <c r="L11" s="83">
        <f t="shared" si="0"/>
        <v>-1.9894753184913263</v>
      </c>
      <c r="M11" s="76">
        <f t="shared" si="0"/>
        <v>0.19911050969369803</v>
      </c>
      <c r="N11" s="83">
        <f>IF((H11-U11)=0,(H11-U11),IF((H11-U11)&gt;=0.005,(H11-U11),IF((H11-U11&lt;=-0.005),(H11-U11),"**")))</f>
        <v>3.376530104817494</v>
      </c>
      <c r="O11" s="10"/>
      <c r="P11" s="24">
        <f>('Tuition-4Yr'!AF5/'Total E&amp;G-4yr'!AF5)*100</f>
        <v>36.497482186315658</v>
      </c>
      <c r="Q11" s="25">
        <f>('State Appropriations-4Yr'!AF5/'Total E&amp;G-4yr'!AF5)*100</f>
        <v>24.237764704404622</v>
      </c>
      <c r="R11" s="154">
        <f>IF((('Local Appropriations-4Yr'!AF5/'Total E&amp;G-4yr'!AF5)*100)=0,(('Local Appropriations-4Yr'!AF5/'Total E&amp;G-4yr'!AF5)*100),IF((('Local Appropriations-4Yr'!AF5/'Total E&amp;G-4yr'!AF5)*100)&gt;=0.005,(('Local Appropriations-4Yr'!AF5/'Total E&amp;G-4yr'!AF5)*100),"*"))</f>
        <v>4.7169717930490462E-2</v>
      </c>
      <c r="S11" s="24">
        <f>('Fed Contracts Grnts-4Yr'!AF5/'Total E&amp;G-4yr'!AF5)*100</f>
        <v>16.321701678946148</v>
      </c>
      <c r="T11" s="26">
        <f>('Other Contract Grnts-4Yr'!AF5/'Total E&amp;G-4yr'!AF5)*100</f>
        <v>12.874929172456206</v>
      </c>
      <c r="U11" s="24">
        <f>(('All Other E&amp;G-4Yr'!AF5+'Investment Income-4Yr'!AF5)/('Total E&amp;G-4yr'!AF5))*100</f>
        <v>10.020952539946878</v>
      </c>
      <c r="V11" s="24"/>
      <c r="W11" s="103">
        <f>SUM(P11:U11)</f>
        <v>100</v>
      </c>
      <c r="X11" s="104">
        <f>SUM(C11:H11)</f>
        <v>99.999999999999986</v>
      </c>
      <c r="Y11" s="109">
        <f t="shared" ref="Y11:Y69" si="1">+Q11+R11</f>
        <v>24.284934422335112</v>
      </c>
      <c r="Z11" s="110">
        <f t="shared" ref="Z11:Z69" si="2">+D11+E11</f>
        <v>21.372669174507273</v>
      </c>
      <c r="AA11" s="109">
        <f t="shared" ref="AA11:AA69" si="3">+S11+T11</f>
        <v>29.196630851402354</v>
      </c>
      <c r="AB11" s="110">
        <f t="shared" ref="AB11:AB69" si="4">+F11+G11</f>
        <v>27.406266042604727</v>
      </c>
      <c r="AC11" s="13">
        <f t="shared" ref="AC11:AC69" si="5">+AA11+Y11++U11+P11</f>
        <v>100</v>
      </c>
      <c r="AD11" s="13">
        <f t="shared" ref="AD11:AD69" si="6">+AB11+Z11+H11+C11</f>
        <v>100</v>
      </c>
      <c r="AE11" s="13"/>
      <c r="AF11" s="1"/>
    </row>
    <row r="12" spans="1:32">
      <c r="A12" s="70"/>
      <c r="B12" s="70"/>
      <c r="C12" s="76"/>
      <c r="D12" s="83"/>
      <c r="E12" s="76"/>
      <c r="F12" s="83"/>
      <c r="G12" s="76"/>
      <c r="H12" s="83"/>
      <c r="I12" s="83"/>
      <c r="J12" s="83"/>
      <c r="K12" s="76"/>
      <c r="L12" s="83"/>
      <c r="M12" s="76"/>
      <c r="N12" s="83"/>
      <c r="O12" s="10"/>
      <c r="P12" s="24"/>
      <c r="Q12" s="25"/>
      <c r="R12" s="154"/>
      <c r="S12" s="24"/>
      <c r="T12" s="26"/>
      <c r="U12" s="24"/>
      <c r="V12" s="24"/>
      <c r="W12" s="103"/>
      <c r="X12" s="104"/>
      <c r="Y12" s="109"/>
      <c r="Z12" s="110"/>
      <c r="AA12" s="109"/>
      <c r="AB12" s="110"/>
      <c r="AC12" s="13"/>
      <c r="AD12" s="13"/>
      <c r="AE12" s="13"/>
      <c r="AF12" s="1"/>
    </row>
    <row r="13" spans="1:32">
      <c r="A13" s="71" t="s">
        <v>21</v>
      </c>
      <c r="B13" s="71"/>
      <c r="C13" s="77">
        <f>('Tuition-4Yr'!AK7/'Total E&amp;G-4yr'!AK7)*100</f>
        <v>47.681669106017694</v>
      </c>
      <c r="D13" s="84">
        <f>('State Appropriations-4Yr'!AK7)/('Total E&amp;G-4yr'!AK7)*100</f>
        <v>19.877085010410493</v>
      </c>
      <c r="E13" s="77">
        <f>IF((('Local Appropriations-4Yr'!AK7/'Total E&amp;G-4yr'!AK7)*100)=0,(('Local Appropriations-4Yr'!AK7/'Total E&amp;G-4yr'!AK7)*100),IF((('Local Appropriations-4Yr'!AK7/'Total E&amp;G-4yr'!AK7)*100)&gt;=0.05,('Local Appropriations-4Yr'!AK7/'Total E&amp;G-4yr'!AK7)*100,"*"))</f>
        <v>0</v>
      </c>
      <c r="F13" s="84">
        <f>('Fed Contracts Grnts-4Yr'!AK7)/('Total E&amp;G-4yr'!AK7)*100</f>
        <v>16.483435358473692</v>
      </c>
      <c r="G13" s="77">
        <f>('Other Contract Grnts-4Yr'!AK7)/('Total E&amp;G-4yr'!AK7)*100</f>
        <v>6.307626017075636</v>
      </c>
      <c r="H13" s="84">
        <f>('All Other E&amp;G-4Yr'!AK7+'Investment Income-4Yr'!AK7)/('Total E&amp;G-4yr'!AK7)*100</f>
        <v>9.6501845080224982</v>
      </c>
      <c r="I13" s="84">
        <f t="shared" ref="I13:I23" si="7">IF((C13-P13)=0,(C13-P13),IF((C13-P13)&gt;=0.005,(C13-P13),IF((C13-P13&lt;=-0.005),(C13-P13),"**")))</f>
        <v>5.4021392614094452</v>
      </c>
      <c r="J13" s="84">
        <f t="shared" ref="J13:J23" si="8">IF((D13-Q13)=0,(D13-Q13),IF((D13-Q13)&gt;=0.005,(D13-Q13),IF((D13-Q13&lt;=-0.005),(D13-Q13),"**")))</f>
        <v>-2.9221688495092941</v>
      </c>
      <c r="K13" s="77">
        <f t="shared" ref="K13:K23" si="9">IF((E13-R13)=0,(E13-R13),IF((E13-R13)&gt;=0.005,(E13-R13),IF((E13-R13&lt;=-0.005),(E13-R13),"**")))</f>
        <v>0</v>
      </c>
      <c r="L13" s="84">
        <f t="shared" ref="L13:L23" si="10">IF((F13-S13)=0,(F13-S13),IF((F13-S13)&gt;=0.005,(F13-S13),IF((F13-S13&lt;=-0.005),(F13-S13),"**")))</f>
        <v>-0.93848197314533977</v>
      </c>
      <c r="M13" s="77">
        <f t="shared" ref="M13:M23" si="11">IF((G13-T13)=0,(G13-T13),IF((G13-T13)&gt;=0.005,(G13-T13),IF((G13-T13&lt;=-0.005),(G13-T13),"**")))</f>
        <v>-2.1579353917478397</v>
      </c>
      <c r="N13" s="84">
        <f t="shared" ref="N13:N23" si="12">IF((H13-U13)=0,(H13-U13),IF((H13-U13)&gt;=0.005,(H13-U13),IF((H13-U13&lt;=-0.005),(H13-U13),"**")))</f>
        <v>0.61644695299304431</v>
      </c>
      <c r="O13" s="10"/>
      <c r="P13" s="24">
        <f>('Tuition-4Yr'!AF7/'Total E&amp;G-4yr'!AF7)*100</f>
        <v>42.279529844608248</v>
      </c>
      <c r="Q13" s="25">
        <f>('State Appropriations-4Yr'!AF7/'Total E&amp;G-4yr'!AF7)*100</f>
        <v>22.799253859919787</v>
      </c>
      <c r="R13" s="154">
        <f>IF((('Local Appropriations-4Yr'!AF7/'Total E&amp;G-4yr'!AF7)*100)=0,(('Local Appropriations-4Yr'!AF7/'Total E&amp;G-4yr'!AF7)*100),IF((('Local Appropriations-4Yr'!AF7/'Total E&amp;G-4yr'!AF7)*100)&gt;=0.005,(('Local Appropriations-4Yr'!AF7/'Total E&amp;G-4yr'!AF7)*100),"*"))</f>
        <v>0</v>
      </c>
      <c r="S13" s="24">
        <f>('Fed Contracts Grnts-4Yr'!AF7/'Total E&amp;G-4yr'!AF7)*100</f>
        <v>17.421917331619031</v>
      </c>
      <c r="T13" s="26">
        <f>('Other Contract Grnts-4Yr'!AF7/'Total E&amp;G-4yr'!AF7)*100</f>
        <v>8.4655614088234756</v>
      </c>
      <c r="U13" s="24">
        <f>(('All Other E&amp;G-4Yr'!AF7+'Investment Income-4Yr'!AF7)/('Total E&amp;G-4yr'!AF7))*100</f>
        <v>9.0337375550294539</v>
      </c>
      <c r="W13" s="103">
        <f t="shared" ref="W13:W29" si="13">SUM(P13:U13)</f>
        <v>100</v>
      </c>
      <c r="X13" s="104">
        <f t="shared" ref="X13:X29" si="14">SUM(C13:H13)</f>
        <v>100</v>
      </c>
      <c r="Y13" s="109">
        <f t="shared" si="1"/>
        <v>22.799253859919787</v>
      </c>
      <c r="Z13" s="110">
        <f t="shared" si="2"/>
        <v>19.877085010410493</v>
      </c>
      <c r="AA13" s="109">
        <f t="shared" si="3"/>
        <v>25.887478740442507</v>
      </c>
      <c r="AB13" s="110">
        <f t="shared" si="4"/>
        <v>22.791061375549326</v>
      </c>
      <c r="AC13" s="13">
        <f t="shared" si="5"/>
        <v>100</v>
      </c>
      <c r="AD13" s="13">
        <f t="shared" si="6"/>
        <v>100</v>
      </c>
      <c r="AE13" s="13"/>
      <c r="AF13" s="1"/>
    </row>
    <row r="14" spans="1:32">
      <c r="A14" s="71" t="s">
        <v>22</v>
      </c>
      <c r="B14" s="71"/>
      <c r="C14" s="77">
        <f>('Tuition-4Yr'!AK8/'Total E&amp;G-4yr'!AK8)*100</f>
        <v>39.827177630509162</v>
      </c>
      <c r="D14" s="84">
        <f>('State Appropriations-4Yr'!AK8)/('Total E&amp;G-4yr'!AK8)*100</f>
        <v>22.251469210182915</v>
      </c>
      <c r="E14" s="77">
        <f>IF((('Local Appropriations-4Yr'!AK8/'Total E&amp;G-4yr'!AK8)*100)=0,(('Local Appropriations-4Yr'!AK8/'Total E&amp;G-4yr'!AK8)*100),IF((('Local Appropriations-4Yr'!AK8/'Total E&amp;G-4yr'!AK8)*100)&gt;=0.05,('Local Appropriations-4Yr'!AK8/'Total E&amp;G-4yr'!AK8)*100,"*"))</f>
        <v>0.24445514629147197</v>
      </c>
      <c r="F14" s="84">
        <f>('Fed Contracts Grnts-4Yr'!AK8)/('Total E&amp;G-4yr'!AK8)*100</f>
        <v>14.567286266054763</v>
      </c>
      <c r="G14" s="77">
        <f>('Other Contract Grnts-4Yr'!AK8)/('Total E&amp;G-4yr'!AK8)*100</f>
        <v>13.773788989846189</v>
      </c>
      <c r="H14" s="84">
        <f>('All Other E&amp;G-4Yr'!AK8+'Investment Income-4Yr'!AK8)/('Total E&amp;G-4yr'!AK8)*100</f>
        <v>9.3358227571154764</v>
      </c>
      <c r="I14" s="84">
        <f t="shared" si="7"/>
        <v>7.115603772081144</v>
      </c>
      <c r="J14" s="84">
        <f t="shared" si="8"/>
        <v>-6.3864945546072036</v>
      </c>
      <c r="K14" s="150">
        <f t="shared" si="9"/>
        <v>-2.6644086125737043E-2</v>
      </c>
      <c r="L14" s="84">
        <f t="shared" si="10"/>
        <v>-1.5148570236167611</v>
      </c>
      <c r="M14" s="77">
        <f t="shared" si="11"/>
        <v>-4.2588004429781385</v>
      </c>
      <c r="N14" s="84">
        <f t="shared" si="12"/>
        <v>5.0711923352466624</v>
      </c>
      <c r="O14" s="10"/>
      <c r="P14" s="24">
        <f>('Tuition-4Yr'!AF8/'Total E&amp;G-4yr'!AF8)*100</f>
        <v>32.711573858428018</v>
      </c>
      <c r="Q14" s="25">
        <f>('State Appropriations-4Yr'!AF8/'Total E&amp;G-4yr'!AF8)*100</f>
        <v>28.637963764790118</v>
      </c>
      <c r="R14" s="154">
        <f>IF((('Local Appropriations-4Yr'!AF8/'Total E&amp;G-4yr'!AF8)*100)=0,(('Local Appropriations-4Yr'!AF8/'Total E&amp;G-4yr'!AF8)*100),IF((('Local Appropriations-4Yr'!AF8/'Total E&amp;G-4yr'!AF8)*100)&gt;=0.005,(('Local Appropriations-4Yr'!AF8/'Total E&amp;G-4yr'!AF8)*100),"*"))</f>
        <v>0.27109923241720901</v>
      </c>
      <c r="S14" s="24">
        <f>('Fed Contracts Grnts-4Yr'!AF8/'Total E&amp;G-4yr'!AF8)*100</f>
        <v>16.082143289671524</v>
      </c>
      <c r="T14" s="26">
        <f>('Other Contract Grnts-4Yr'!AF8/'Total E&amp;G-4yr'!AF8)*100</f>
        <v>18.032589432824327</v>
      </c>
      <c r="U14" s="24">
        <f>(('All Other E&amp;G-4Yr'!AF8+'Investment Income-4Yr'!AF8)/('Total E&amp;G-4yr'!AF8))*100</f>
        <v>4.264630421868814</v>
      </c>
      <c r="V14" s="24"/>
      <c r="W14" s="103">
        <f t="shared" si="13"/>
        <v>100.00000000000001</v>
      </c>
      <c r="X14" s="104">
        <f t="shared" si="14"/>
        <v>99.999999999999986</v>
      </c>
      <c r="Y14" s="109">
        <f t="shared" si="1"/>
        <v>28.909062997207329</v>
      </c>
      <c r="Z14" s="110">
        <f t="shared" si="2"/>
        <v>22.495924356474386</v>
      </c>
      <c r="AA14" s="109">
        <f t="shared" si="3"/>
        <v>34.114732722495852</v>
      </c>
      <c r="AB14" s="110">
        <f t="shared" si="4"/>
        <v>28.341075255900954</v>
      </c>
      <c r="AC14" s="13">
        <f t="shared" si="5"/>
        <v>100</v>
      </c>
      <c r="AD14" s="13">
        <f t="shared" si="6"/>
        <v>99.999999999999972</v>
      </c>
      <c r="AE14" s="13"/>
      <c r="AF14" s="1"/>
    </row>
    <row r="15" spans="1:32">
      <c r="A15" s="71" t="s">
        <v>23</v>
      </c>
      <c r="B15" s="71"/>
      <c r="C15" s="77">
        <f>('Tuition-4Yr'!AK9/'Total E&amp;G-4yr'!AK9)*100</f>
        <v>44.410564640122779</v>
      </c>
      <c r="D15" s="84">
        <f>('State Appropriations-4Yr'!AK9)/('Total E&amp;G-4yr'!AK9)*100</f>
        <v>13.631126332432263</v>
      </c>
      <c r="E15" s="77">
        <f>IF((('Local Appropriations-4Yr'!AK9/'Total E&amp;G-4yr'!AK9)*100)=0,(('Local Appropriations-4Yr'!AK9/'Total E&amp;G-4yr'!AK9)*100),IF((('Local Appropriations-4Yr'!AK9/'Total E&amp;G-4yr'!AK9)*100)&gt;=0.05,('Local Appropriations-4Yr'!AK9/'Total E&amp;G-4yr'!AK9)*100,"*"))</f>
        <v>0</v>
      </c>
      <c r="F15" s="84">
        <f>('Fed Contracts Grnts-4Yr'!AK9)/('Total E&amp;G-4yr'!AK9)*100</f>
        <v>13.193454496816262</v>
      </c>
      <c r="G15" s="77">
        <f>('Other Contract Grnts-4Yr'!AK9)/('Total E&amp;G-4yr'!AK9)*100</f>
        <v>11.215199540135353</v>
      </c>
      <c r="H15" s="84">
        <f>('All Other E&amp;G-4Yr'!AK9+'Investment Income-4Yr'!AK9)/('Total E&amp;G-4yr'!AK9)*100</f>
        <v>17.549654990493352</v>
      </c>
      <c r="I15" s="84">
        <f t="shared" si="7"/>
        <v>-2.1090681271595457</v>
      </c>
      <c r="J15" s="84">
        <f t="shared" si="8"/>
        <v>0.4692773830857444</v>
      </c>
      <c r="K15" s="77">
        <f t="shared" si="9"/>
        <v>0</v>
      </c>
      <c r="L15" s="84">
        <f t="shared" si="10"/>
        <v>1.8133021043456701</v>
      </c>
      <c r="M15" s="77">
        <f t="shared" si="11"/>
        <v>2.742260591861287</v>
      </c>
      <c r="N15" s="84">
        <f t="shared" si="12"/>
        <v>-2.9157719521331487</v>
      </c>
      <c r="O15" s="10"/>
      <c r="P15" s="24">
        <f>('Tuition-4Yr'!AF9/'Total E&amp;G-4yr'!AF9)*100</f>
        <v>46.519632767282324</v>
      </c>
      <c r="Q15" s="25">
        <f>('State Appropriations-4Yr'!AF9/'Total E&amp;G-4yr'!AF9)*100</f>
        <v>13.161848949346519</v>
      </c>
      <c r="R15" s="154">
        <f>IF((('Local Appropriations-4Yr'!AF9/'Total E&amp;G-4yr'!AF9)*100)=0,(('Local Appropriations-4Yr'!AF9/'Total E&amp;G-4yr'!AF9)*100),IF((('Local Appropriations-4Yr'!AF9/'Total E&amp;G-4yr'!AF9)*100)&gt;=0.005,(('Local Appropriations-4Yr'!AF9/'Total E&amp;G-4yr'!AF9)*100),"*"))</f>
        <v>0</v>
      </c>
      <c r="S15" s="24">
        <f>('Fed Contracts Grnts-4Yr'!AF9/'Total E&amp;G-4yr'!AF9)*100</f>
        <v>11.380152392470592</v>
      </c>
      <c r="T15" s="26">
        <f>('Other Contract Grnts-4Yr'!AF9/'Total E&amp;G-4yr'!AF9)*100</f>
        <v>8.4729389482740665</v>
      </c>
      <c r="U15" s="24">
        <f>(('All Other E&amp;G-4Yr'!AF9+'Investment Income-4Yr'!AF9)/('Total E&amp;G-4yr'!AF9))*100</f>
        <v>20.4654269426265</v>
      </c>
      <c r="V15" s="24"/>
      <c r="W15" s="103">
        <f t="shared" si="13"/>
        <v>100</v>
      </c>
      <c r="X15" s="104">
        <f t="shared" si="14"/>
        <v>100.00000000000001</v>
      </c>
      <c r="Y15" s="109">
        <f t="shared" si="1"/>
        <v>13.161848949346519</v>
      </c>
      <c r="Z15" s="110">
        <f t="shared" si="2"/>
        <v>13.631126332432263</v>
      </c>
      <c r="AA15" s="109">
        <f t="shared" si="3"/>
        <v>19.853091340744658</v>
      </c>
      <c r="AB15" s="110">
        <f t="shared" si="4"/>
        <v>24.408654036951617</v>
      </c>
      <c r="AC15" s="13">
        <f t="shared" si="5"/>
        <v>100</v>
      </c>
      <c r="AD15" s="13">
        <f t="shared" si="6"/>
        <v>100</v>
      </c>
      <c r="AE15" s="13"/>
      <c r="AF15" s="1"/>
    </row>
    <row r="16" spans="1:32">
      <c r="A16" s="71" t="s">
        <v>24</v>
      </c>
      <c r="B16" s="71"/>
      <c r="C16" s="77">
        <f>('Tuition-4Yr'!AK10/'Total E&amp;G-4yr'!AK10)*100</f>
        <v>33.294679877890857</v>
      </c>
      <c r="D16" s="84">
        <f>('State Appropriations-4Yr'!AK10)/('Total E&amp;G-4yr'!AK10)*100</f>
        <v>27.129954491721048</v>
      </c>
      <c r="E16" s="77">
        <f>IF((('Local Appropriations-4Yr'!AK10/'Total E&amp;G-4yr'!AK10)*100)=0,(('Local Appropriations-4Yr'!AK10/'Total E&amp;G-4yr'!AK10)*100),IF((('Local Appropriations-4Yr'!AK10/'Total E&amp;G-4yr'!AK10)*100)&gt;=0.05,('Local Appropriations-4Yr'!AK10/'Total E&amp;G-4yr'!AK10)*100,"*"))</f>
        <v>0</v>
      </c>
      <c r="F16" s="84">
        <f>('Fed Contracts Grnts-4Yr'!AK10)/('Total E&amp;G-4yr'!AK10)*100</f>
        <v>14.99639926041996</v>
      </c>
      <c r="G16" s="77">
        <f>('Other Contract Grnts-4Yr'!AK10)/('Total E&amp;G-4yr'!AK10)*100</f>
        <v>19.279648893036747</v>
      </c>
      <c r="H16" s="84">
        <f>('All Other E&amp;G-4Yr'!AK10+'Investment Income-4Yr'!AK10)/('Total E&amp;G-4yr'!AK10)*100</f>
        <v>5.2993174769314049</v>
      </c>
      <c r="I16" s="84">
        <f t="shared" si="7"/>
        <v>1.1594769184691458</v>
      </c>
      <c r="J16" s="84">
        <f t="shared" si="8"/>
        <v>-1.2292763761578911</v>
      </c>
      <c r="K16" s="77">
        <f t="shared" si="9"/>
        <v>0</v>
      </c>
      <c r="L16" s="84">
        <f t="shared" si="10"/>
        <v>-2.5803582900704782</v>
      </c>
      <c r="M16" s="77">
        <f t="shared" si="11"/>
        <v>1.4881411798041739</v>
      </c>
      <c r="N16" s="84">
        <f t="shared" si="12"/>
        <v>1.1620165679550647</v>
      </c>
      <c r="O16" s="10"/>
      <c r="P16" s="24">
        <f>('Tuition-4Yr'!AF10/'Total E&amp;G-4yr'!AF10)*100</f>
        <v>32.135202959421711</v>
      </c>
      <c r="Q16" s="25">
        <f>('State Appropriations-4Yr'!AF10/'Total E&amp;G-4yr'!AF10)*100</f>
        <v>28.359230867878939</v>
      </c>
      <c r="R16" s="154">
        <f>IF((('Local Appropriations-4Yr'!AF10/'Total E&amp;G-4yr'!AF10)*100)=0,(('Local Appropriations-4Yr'!AF10/'Total E&amp;G-4yr'!AF10)*100),IF((('Local Appropriations-4Yr'!AF10/'Total E&amp;G-4yr'!AF10)*100)&gt;=0.005,(('Local Appropriations-4Yr'!AF10/'Total E&amp;G-4yr'!AF10)*100),"*"))</f>
        <v>0</v>
      </c>
      <c r="S16" s="24">
        <f>('Fed Contracts Grnts-4Yr'!AF10/'Total E&amp;G-4yr'!AF10)*100</f>
        <v>17.576757550490438</v>
      </c>
      <c r="T16" s="26">
        <f>('Other Contract Grnts-4Yr'!AF10/'Total E&amp;G-4yr'!AF10)*100</f>
        <v>17.791507713232573</v>
      </c>
      <c r="U16" s="24">
        <f>(('All Other E&amp;G-4Yr'!AF10+'Investment Income-4Yr'!AF10)/('Total E&amp;G-4yr'!AF10))*100</f>
        <v>4.1373009089763402</v>
      </c>
      <c r="V16" s="24"/>
      <c r="W16" s="103">
        <f t="shared" si="13"/>
        <v>100.00000000000001</v>
      </c>
      <c r="X16" s="104">
        <f t="shared" si="14"/>
        <v>100.00000000000003</v>
      </c>
      <c r="Y16" s="109">
        <f t="shared" si="1"/>
        <v>28.359230867878939</v>
      </c>
      <c r="Z16" s="110">
        <f t="shared" si="2"/>
        <v>27.129954491721048</v>
      </c>
      <c r="AA16" s="109">
        <f t="shared" si="3"/>
        <v>35.368265263723011</v>
      </c>
      <c r="AB16" s="110">
        <f t="shared" si="4"/>
        <v>34.276048153456706</v>
      </c>
      <c r="AC16" s="13">
        <f t="shared" si="5"/>
        <v>100</v>
      </c>
      <c r="AD16" s="13">
        <f t="shared" si="6"/>
        <v>100.00000000000001</v>
      </c>
      <c r="AE16" s="13"/>
      <c r="AF16" s="1"/>
    </row>
    <row r="17" spans="1:32">
      <c r="A17" s="70" t="s">
        <v>25</v>
      </c>
      <c r="B17" s="70"/>
      <c r="C17" s="76">
        <f>('Tuition-4Yr'!AK11/'Total E&amp;G-4yr'!AK11)*100</f>
        <v>37.28052102823434</v>
      </c>
      <c r="D17" s="83">
        <f>('State Appropriations-4Yr'!AK11)/('Total E&amp;G-4yr'!AK11)*100</f>
        <v>26.896103105241266</v>
      </c>
      <c r="E17" s="76">
        <f>IF((('Local Appropriations-4Yr'!AK11/'Total E&amp;G-4yr'!AK11)*100)=0,(('Local Appropriations-4Yr'!AK11/'Total E&amp;G-4yr'!AK11)*100),IF((('Local Appropriations-4Yr'!AK11/'Total E&amp;G-4yr'!AK11)*100)&gt;=0.05,('Local Appropriations-4Yr'!AK11/'Total E&amp;G-4yr'!AK11)*100,"*"))</f>
        <v>0</v>
      </c>
      <c r="F17" s="83">
        <f>('Fed Contracts Grnts-4Yr'!AK11)/('Total E&amp;G-4yr'!AK11)*100</f>
        <v>18.986403331515753</v>
      </c>
      <c r="G17" s="76">
        <f>('Other Contract Grnts-4Yr'!AK11)/('Total E&amp;G-4yr'!AK11)*100</f>
        <v>11.033018371554419</v>
      </c>
      <c r="H17" s="83">
        <f>('All Other E&amp;G-4Yr'!AK11+'Investment Income-4Yr'!AK11)/('Total E&amp;G-4yr'!AK11)*100</f>
        <v>5.8039541634542271</v>
      </c>
      <c r="I17" s="83">
        <f t="shared" si="7"/>
        <v>0.41704967592713871</v>
      </c>
      <c r="J17" s="83">
        <f t="shared" si="8"/>
        <v>-0.74289848211468268</v>
      </c>
      <c r="K17" s="76">
        <f t="shared" si="9"/>
        <v>0</v>
      </c>
      <c r="L17" s="83">
        <f t="shared" si="10"/>
        <v>-2.1246299398399202</v>
      </c>
      <c r="M17" s="76">
        <f t="shared" si="11"/>
        <v>-0.67660596968943487</v>
      </c>
      <c r="N17" s="83">
        <f t="shared" si="12"/>
        <v>3.1270847157169084</v>
      </c>
      <c r="O17" s="10"/>
      <c r="P17" s="24">
        <f>('Tuition-4Yr'!AF11/'Total E&amp;G-4yr'!AF11)*100</f>
        <v>36.863471352307201</v>
      </c>
      <c r="Q17" s="25">
        <f>('State Appropriations-4Yr'!AF11/'Total E&amp;G-4yr'!AF11)*100</f>
        <v>27.639001587355949</v>
      </c>
      <c r="R17" s="154">
        <f>IF((('Local Appropriations-4Yr'!AF11/'Total E&amp;G-4yr'!AF11)*100)=0,(('Local Appropriations-4Yr'!AF11/'Total E&amp;G-4yr'!AF11)*100),IF((('Local Appropriations-4Yr'!AF11/'Total E&amp;G-4yr'!AF11)*100)&gt;=0.005,(('Local Appropriations-4Yr'!AF11/'Total E&amp;G-4yr'!AF11)*100),"*"))</f>
        <v>0</v>
      </c>
      <c r="S17" s="24">
        <f>('Fed Contracts Grnts-4Yr'!AF11/'Total E&amp;G-4yr'!AF11)*100</f>
        <v>21.111033271355673</v>
      </c>
      <c r="T17" s="26">
        <f>('Other Contract Grnts-4Yr'!AF11/'Total E&amp;G-4yr'!AF11)*100</f>
        <v>11.709624341243854</v>
      </c>
      <c r="U17" s="24">
        <f>(('All Other E&amp;G-4Yr'!AF11+'Investment Income-4Yr'!AF11)/('Total E&amp;G-4yr'!AF11))*100</f>
        <v>2.6768694477373187</v>
      </c>
      <c r="V17" s="24"/>
      <c r="W17" s="103">
        <f t="shared" si="13"/>
        <v>100</v>
      </c>
      <c r="X17" s="104">
        <f t="shared" si="14"/>
        <v>100</v>
      </c>
      <c r="Y17" s="109">
        <f t="shared" si="1"/>
        <v>27.639001587355949</v>
      </c>
      <c r="Z17" s="110">
        <f t="shared" si="2"/>
        <v>26.896103105241266</v>
      </c>
      <c r="AA17" s="109">
        <f t="shared" si="3"/>
        <v>32.820657612599526</v>
      </c>
      <c r="AB17" s="110">
        <f t="shared" si="4"/>
        <v>30.019421703070172</v>
      </c>
      <c r="AC17" s="13">
        <f t="shared" si="5"/>
        <v>100</v>
      </c>
      <c r="AD17" s="13">
        <f t="shared" si="6"/>
        <v>100</v>
      </c>
      <c r="AE17" s="13"/>
      <c r="AF17" s="1"/>
    </row>
    <row r="18" spans="1:32">
      <c r="A18" s="70" t="s">
        <v>26</v>
      </c>
      <c r="B18" s="70"/>
      <c r="C18" s="76">
        <f>('Tuition-4Yr'!AK12/'Total E&amp;G-4yr'!AK12)*100</f>
        <v>41.376476943096073</v>
      </c>
      <c r="D18" s="83">
        <f>('State Appropriations-4Yr'!AK12)/('Total E&amp;G-4yr'!AK12)*100</f>
        <v>16.661336441498278</v>
      </c>
      <c r="E18" s="76">
        <f>IF((('Local Appropriations-4Yr'!AK12/'Total E&amp;G-4yr'!AK12)*100)=0,(('Local Appropriations-4Yr'!AK12/'Total E&amp;G-4yr'!AK12)*100),IF((('Local Appropriations-4Yr'!AK12/'Total E&amp;G-4yr'!AK12)*100)&gt;=0.05,('Local Appropriations-4Yr'!AK12/'Total E&amp;G-4yr'!AK12)*100,"*"))</f>
        <v>0.64549517642345366</v>
      </c>
      <c r="F18" s="83">
        <f>('Fed Contracts Grnts-4Yr'!AK12)/('Total E&amp;G-4yr'!AK12)*100</f>
        <v>14.173325686007935</v>
      </c>
      <c r="G18" s="76">
        <f>('Other Contract Grnts-4Yr'!AK12)/('Total E&amp;G-4yr'!AK12)*100</f>
        <v>9.8851676584608175</v>
      </c>
      <c r="H18" s="83">
        <f>('All Other E&amp;G-4Yr'!AK12+'Investment Income-4Yr'!AK12)/('Total E&amp;G-4yr'!AK12)*100</f>
        <v>17.258198094513443</v>
      </c>
      <c r="I18" s="151">
        <f t="shared" si="7"/>
        <v>3.2933815184001958E-2</v>
      </c>
      <c r="J18" s="83">
        <f t="shared" si="8"/>
        <v>-6.0167729577140996</v>
      </c>
      <c r="K18" s="148">
        <f t="shared" si="9"/>
        <v>1.5170798781357298E-2</v>
      </c>
      <c r="L18" s="83">
        <f t="shared" si="10"/>
        <v>-1.8452078061057406</v>
      </c>
      <c r="M18" s="76">
        <f t="shared" si="11"/>
        <v>-0.78340649015552266</v>
      </c>
      <c r="N18" s="83">
        <f t="shared" si="12"/>
        <v>8.597282640010004</v>
      </c>
      <c r="O18" s="10"/>
      <c r="P18" s="24">
        <f>('Tuition-4Yr'!AF12/'Total E&amp;G-4yr'!AF12)*100</f>
        <v>41.343543127912071</v>
      </c>
      <c r="Q18" s="25">
        <f>('State Appropriations-4Yr'!AF12/'Total E&amp;G-4yr'!AF12)*100</f>
        <v>22.678109399212378</v>
      </c>
      <c r="R18" s="154">
        <f>IF((('Local Appropriations-4Yr'!AF12/'Total E&amp;G-4yr'!AF12)*100)=0,(('Local Appropriations-4Yr'!AF12/'Total E&amp;G-4yr'!AF12)*100),IF((('Local Appropriations-4Yr'!AF12/'Total E&amp;G-4yr'!AF12)*100)&gt;=0.005,(('Local Appropriations-4Yr'!AF12/'Total E&amp;G-4yr'!AF12)*100),"*"))</f>
        <v>0.63032437764209637</v>
      </c>
      <c r="S18" s="24">
        <f>('Fed Contracts Grnts-4Yr'!AF12/'Total E&amp;G-4yr'!AF12)*100</f>
        <v>16.018533492113676</v>
      </c>
      <c r="T18" s="26">
        <f>('Other Contract Grnts-4Yr'!AF12/'Total E&amp;G-4yr'!AF12)*100</f>
        <v>10.66857414861634</v>
      </c>
      <c r="U18" s="24">
        <f>(('All Other E&amp;G-4Yr'!AF12+'Investment Income-4Yr'!AF12)/('Total E&amp;G-4yr'!AF12))*100</f>
        <v>8.6609154545034386</v>
      </c>
      <c r="V18" s="24"/>
      <c r="W18" s="103">
        <f t="shared" si="13"/>
        <v>100</v>
      </c>
      <c r="X18" s="104">
        <f t="shared" si="14"/>
        <v>100</v>
      </c>
      <c r="Y18" s="109">
        <f t="shared" si="1"/>
        <v>23.308433776854475</v>
      </c>
      <c r="Z18" s="110">
        <f t="shared" si="2"/>
        <v>17.306831617921731</v>
      </c>
      <c r="AA18" s="109">
        <f t="shared" si="3"/>
        <v>26.687107640730016</v>
      </c>
      <c r="AB18" s="110">
        <f t="shared" si="4"/>
        <v>24.058493344468751</v>
      </c>
      <c r="AC18" s="13">
        <f t="shared" si="5"/>
        <v>100</v>
      </c>
      <c r="AD18" s="13">
        <f t="shared" si="6"/>
        <v>100</v>
      </c>
      <c r="AE18" s="13"/>
      <c r="AF18" s="1"/>
    </row>
    <row r="19" spans="1:32">
      <c r="A19" s="70" t="s">
        <v>27</v>
      </c>
      <c r="B19" s="70"/>
      <c r="C19" s="76">
        <f>('Tuition-4Yr'!AK13/'Total E&amp;G-4yr'!AK13)*100</f>
        <v>41.198673849677853</v>
      </c>
      <c r="D19" s="83">
        <f>('State Appropriations-4Yr'!AK13)/('Total E&amp;G-4yr'!AK13)*100</f>
        <v>16.417852240942715</v>
      </c>
      <c r="E19" s="76">
        <f>IF((('Local Appropriations-4Yr'!AK13/'Total E&amp;G-4yr'!AK13)*100)=0,(('Local Appropriations-4Yr'!AK13/'Total E&amp;G-4yr'!AK13)*100),IF((('Local Appropriations-4Yr'!AK13/'Total E&amp;G-4yr'!AK13)*100)&gt;=0.05,('Local Appropriations-4Yr'!AK13/'Total E&amp;G-4yr'!AK13)*100,"*"))</f>
        <v>0</v>
      </c>
      <c r="F19" s="83">
        <f>('Fed Contracts Grnts-4Yr'!AK13)/('Total E&amp;G-4yr'!AK13)*100</f>
        <v>12.476446271850731</v>
      </c>
      <c r="G19" s="76">
        <f>('Other Contract Grnts-4Yr'!AK13)/('Total E&amp;G-4yr'!AK13)*100</f>
        <v>24.016543728122937</v>
      </c>
      <c r="H19" s="83">
        <f>('All Other E&amp;G-4Yr'!AK13+'Investment Income-4Yr'!AK13)/('Total E&amp;G-4yr'!AK13)*100</f>
        <v>5.8904839094057504</v>
      </c>
      <c r="I19" s="83">
        <f t="shared" si="7"/>
        <v>4.1962344615356528</v>
      </c>
      <c r="J19" s="83">
        <f t="shared" si="8"/>
        <v>-6.5636571341397598</v>
      </c>
      <c r="K19" s="76">
        <f t="shared" si="9"/>
        <v>0</v>
      </c>
      <c r="L19" s="83">
        <f t="shared" si="10"/>
        <v>-2.7882267060289365</v>
      </c>
      <c r="M19" s="76">
        <f t="shared" si="11"/>
        <v>5.2607291270192178</v>
      </c>
      <c r="N19" s="83">
        <f t="shared" si="12"/>
        <v>-0.10507974838617518</v>
      </c>
      <c r="O19" s="10"/>
      <c r="P19" s="24">
        <f>('Tuition-4Yr'!AF13/'Total E&amp;G-4yr'!AF13)*100</f>
        <v>37.0024393881422</v>
      </c>
      <c r="Q19" s="25">
        <f>('State Appropriations-4Yr'!AF13/'Total E&amp;G-4yr'!AF13)*100</f>
        <v>22.981509375082474</v>
      </c>
      <c r="R19" s="154">
        <f>IF((('Local Appropriations-4Yr'!AF13/'Total E&amp;G-4yr'!AF13)*100)=0,(('Local Appropriations-4Yr'!AF13/'Total E&amp;G-4yr'!AF13)*100),IF((('Local Appropriations-4Yr'!AF13/'Total E&amp;G-4yr'!AF13)*100)&gt;=0.005,(('Local Appropriations-4Yr'!AF13/'Total E&amp;G-4yr'!AF13)*100),"*"))</f>
        <v>0</v>
      </c>
      <c r="S19" s="24">
        <f>('Fed Contracts Grnts-4Yr'!AF13/'Total E&amp;G-4yr'!AF13)*100</f>
        <v>15.264672977879668</v>
      </c>
      <c r="T19" s="26">
        <f>('Other Contract Grnts-4Yr'!AF13/'Total E&amp;G-4yr'!AF13)*100</f>
        <v>18.755814601103719</v>
      </c>
      <c r="U19" s="24">
        <f>(('All Other E&amp;G-4Yr'!AF13+'Investment Income-4Yr'!AF13)/('Total E&amp;G-4yr'!AF13))*100</f>
        <v>5.9955636577919256</v>
      </c>
      <c r="V19" s="24"/>
      <c r="W19" s="103">
        <f t="shared" si="13"/>
        <v>99.999999999999986</v>
      </c>
      <c r="X19" s="104">
        <f t="shared" si="14"/>
        <v>99.999999999999986</v>
      </c>
      <c r="Y19" s="109">
        <f t="shared" si="1"/>
        <v>22.981509375082474</v>
      </c>
      <c r="Z19" s="110">
        <f t="shared" si="2"/>
        <v>16.417852240942715</v>
      </c>
      <c r="AA19" s="109">
        <f t="shared" si="3"/>
        <v>34.020487578983385</v>
      </c>
      <c r="AB19" s="110">
        <f t="shared" si="4"/>
        <v>36.492989999973666</v>
      </c>
      <c r="AC19" s="13">
        <f t="shared" si="5"/>
        <v>99.999999999999986</v>
      </c>
      <c r="AD19" s="13">
        <f t="shared" si="6"/>
        <v>99.999999999999986</v>
      </c>
      <c r="AE19" s="13"/>
      <c r="AF19" s="1"/>
    </row>
    <row r="20" spans="1:32">
      <c r="A20" s="70" t="s">
        <v>28</v>
      </c>
      <c r="B20" s="70"/>
      <c r="C20" s="76">
        <f>('Tuition-4Yr'!AK14/'Total E&amp;G-4yr'!AK14)*100</f>
        <v>36.594856073683715</v>
      </c>
      <c r="D20" s="83">
        <f>('State Appropriations-4Yr'!AK14)/('Total E&amp;G-4yr'!AK14)*100</f>
        <v>26.705343791469932</v>
      </c>
      <c r="E20" s="76">
        <f>IF((('Local Appropriations-4Yr'!AK14/'Total E&amp;G-4yr'!AK14)*100)=0,(('Local Appropriations-4Yr'!AK14/'Total E&amp;G-4yr'!AK14)*100),IF((('Local Appropriations-4Yr'!AK14/'Total E&amp;G-4yr'!AK14)*100)&gt;=0.05,('Local Appropriations-4Yr'!AK14/'Total E&amp;G-4yr'!AK14)*100,"*"))</f>
        <v>0</v>
      </c>
      <c r="F20" s="83">
        <f>('Fed Contracts Grnts-4Yr'!AK14)/('Total E&amp;G-4yr'!AK14)*100</f>
        <v>18.000424601242145</v>
      </c>
      <c r="G20" s="76">
        <f>('Other Contract Grnts-4Yr'!AK14)/('Total E&amp;G-4yr'!AK14)*100</f>
        <v>9.4839154559755769</v>
      </c>
      <c r="H20" s="83">
        <f>('All Other E&amp;G-4Yr'!AK14+'Investment Income-4Yr'!AK14)/('Total E&amp;G-4yr'!AK14)*100</f>
        <v>9.2154600776286379</v>
      </c>
      <c r="I20" s="83">
        <f t="shared" si="7"/>
        <v>-0.84229346147277084</v>
      </c>
      <c r="J20" s="83">
        <f t="shared" si="8"/>
        <v>-1.9168792948200633</v>
      </c>
      <c r="K20" s="76">
        <f t="shared" si="9"/>
        <v>0</v>
      </c>
      <c r="L20" s="83">
        <f t="shared" si="10"/>
        <v>-2.1158436193196231</v>
      </c>
      <c r="M20" s="76">
        <f t="shared" si="11"/>
        <v>-1.1182743090354208</v>
      </c>
      <c r="N20" s="83">
        <f t="shared" si="12"/>
        <v>5.9932906846478762</v>
      </c>
      <c r="O20" s="10"/>
      <c r="P20" s="24">
        <f>('Tuition-4Yr'!AF14/'Total E&amp;G-4yr'!AF14)*100</f>
        <v>37.437149535156486</v>
      </c>
      <c r="Q20" s="25">
        <f>('State Appropriations-4Yr'!AF14/'Total E&amp;G-4yr'!AF14)*100</f>
        <v>28.622223086289996</v>
      </c>
      <c r="R20" s="154">
        <f>IF((('Local Appropriations-4Yr'!AF14/'Total E&amp;G-4yr'!AF14)*100)=0,(('Local Appropriations-4Yr'!AF14/'Total E&amp;G-4yr'!AF14)*100),IF((('Local Appropriations-4Yr'!AF14/'Total E&amp;G-4yr'!AF14)*100)&gt;=0.005,(('Local Appropriations-4Yr'!AF14/'Total E&amp;G-4yr'!AF14)*100),"*"))</f>
        <v>0</v>
      </c>
      <c r="S20" s="24">
        <f>('Fed Contracts Grnts-4Yr'!AF14/'Total E&amp;G-4yr'!AF14)*100</f>
        <v>20.116268220561768</v>
      </c>
      <c r="T20" s="26">
        <f>('Other Contract Grnts-4Yr'!AF14/'Total E&amp;G-4yr'!AF14)*100</f>
        <v>10.602189765010998</v>
      </c>
      <c r="U20" s="24">
        <f>(('All Other E&amp;G-4Yr'!AF14+'Investment Income-4Yr'!AF14)/('Total E&amp;G-4yr'!AF14))*100</f>
        <v>3.2221693929807618</v>
      </c>
      <c r="V20" s="24"/>
      <c r="W20" s="103">
        <f t="shared" si="13"/>
        <v>100</v>
      </c>
      <c r="X20" s="104">
        <f t="shared" si="14"/>
        <v>100</v>
      </c>
      <c r="Y20" s="109">
        <f t="shared" si="1"/>
        <v>28.622223086289996</v>
      </c>
      <c r="Z20" s="110">
        <f t="shared" si="2"/>
        <v>26.705343791469932</v>
      </c>
      <c r="AA20" s="109">
        <f t="shared" si="3"/>
        <v>30.718457985572766</v>
      </c>
      <c r="AB20" s="110">
        <f t="shared" si="4"/>
        <v>27.484340057217722</v>
      </c>
      <c r="AC20" s="13">
        <f t="shared" si="5"/>
        <v>100</v>
      </c>
      <c r="AD20" s="13">
        <f t="shared" si="6"/>
        <v>100</v>
      </c>
      <c r="AE20" s="13"/>
      <c r="AF20" s="1"/>
    </row>
    <row r="21" spans="1:32">
      <c r="A21" s="71" t="s">
        <v>29</v>
      </c>
      <c r="B21" s="71"/>
      <c r="C21" s="77">
        <f>('Tuition-4Yr'!AK15/'Total E&amp;G-4yr'!AK15)*100</f>
        <v>42.909733489498102</v>
      </c>
      <c r="D21" s="84">
        <f>('State Appropriations-4Yr'!AK15)/('Total E&amp;G-4yr'!AK15)*100</f>
        <v>22.994699828947475</v>
      </c>
      <c r="E21" s="77">
        <f>IF((('Local Appropriations-4Yr'!AK15/'Total E&amp;G-4yr'!AK15)*100)=0,(('Local Appropriations-4Yr'!AK15/'Total E&amp;G-4yr'!AK15)*100),IF((('Local Appropriations-4Yr'!AK15/'Total E&amp;G-4yr'!AK15)*100)&gt;=0.05,('Local Appropriations-4Yr'!AK15/'Total E&amp;G-4yr'!AK15)*100,"*"))</f>
        <v>0</v>
      </c>
      <c r="F21" s="84">
        <f>('Fed Contracts Grnts-4Yr'!AK15)/('Total E&amp;G-4yr'!AK15)*100</f>
        <v>18.246424767025996</v>
      </c>
      <c r="G21" s="77">
        <f>('Other Contract Grnts-4Yr'!AK15)/('Total E&amp;G-4yr'!AK15)*100</f>
        <v>7.8420736536567279</v>
      </c>
      <c r="H21" s="84">
        <f>('All Other E&amp;G-4Yr'!AK15+'Investment Income-4Yr'!AK15)/('Total E&amp;G-4yr'!AK15)*100</f>
        <v>8.0070682608717014</v>
      </c>
      <c r="I21" s="84">
        <f t="shared" si="7"/>
        <v>8.745183723279375</v>
      </c>
      <c r="J21" s="84">
        <f t="shared" si="8"/>
        <v>-7.5037990917474637</v>
      </c>
      <c r="K21" s="77">
        <f t="shared" si="9"/>
        <v>0</v>
      </c>
      <c r="L21" s="84">
        <f t="shared" si="10"/>
        <v>-0.14774857598589364</v>
      </c>
      <c r="M21" s="77">
        <f t="shared" si="11"/>
        <v>-2.5524014406371158</v>
      </c>
      <c r="N21" s="84">
        <f t="shared" si="12"/>
        <v>1.4587653850911018</v>
      </c>
      <c r="O21" s="10"/>
      <c r="P21" s="24">
        <f>('Tuition-4Yr'!AF15/'Total E&amp;G-4yr'!AF15)*100</f>
        <v>34.164549766218727</v>
      </c>
      <c r="Q21" s="25">
        <f>('State Appropriations-4Yr'!AF15/'Total E&amp;G-4yr'!AF15)*100</f>
        <v>30.498498920694939</v>
      </c>
      <c r="R21" s="154">
        <f>IF((('Local Appropriations-4Yr'!AF15/'Total E&amp;G-4yr'!AF15)*100)=0,(('Local Appropriations-4Yr'!AF15/'Total E&amp;G-4yr'!AF15)*100),IF((('Local Appropriations-4Yr'!AF15/'Total E&amp;G-4yr'!AF15)*100)&gt;=0.005,(('Local Appropriations-4Yr'!AF15/'Total E&amp;G-4yr'!AF15)*100),"*"))</f>
        <v>0</v>
      </c>
      <c r="S21" s="24">
        <f>('Fed Contracts Grnts-4Yr'!AF15/'Total E&amp;G-4yr'!AF15)*100</f>
        <v>18.394173343011889</v>
      </c>
      <c r="T21" s="26">
        <f>('Other Contract Grnts-4Yr'!AF15/'Total E&amp;G-4yr'!AF15)*100</f>
        <v>10.394475094293844</v>
      </c>
      <c r="U21" s="24">
        <f>(('All Other E&amp;G-4Yr'!AF15+'Investment Income-4Yr'!AF15)/('Total E&amp;G-4yr'!AF15))*100</f>
        <v>6.5483028757805997</v>
      </c>
      <c r="V21" s="24"/>
      <c r="W21" s="103">
        <f t="shared" si="13"/>
        <v>100</v>
      </c>
      <c r="X21" s="104">
        <f t="shared" si="14"/>
        <v>100</v>
      </c>
      <c r="Y21" s="109">
        <f t="shared" si="1"/>
        <v>30.498498920694939</v>
      </c>
      <c r="Z21" s="110">
        <f t="shared" si="2"/>
        <v>22.994699828947475</v>
      </c>
      <c r="AA21" s="109">
        <f t="shared" si="3"/>
        <v>28.788648437305731</v>
      </c>
      <c r="AB21" s="110">
        <f t="shared" si="4"/>
        <v>26.088498420682726</v>
      </c>
      <c r="AC21" s="13">
        <f t="shared" si="5"/>
        <v>100</v>
      </c>
      <c r="AD21" s="13">
        <f t="shared" si="6"/>
        <v>100</v>
      </c>
      <c r="AE21" s="13"/>
      <c r="AF21" s="1"/>
    </row>
    <row r="22" spans="1:32">
      <c r="A22" s="71" t="s">
        <v>30</v>
      </c>
      <c r="B22" s="71"/>
      <c r="C22" s="77">
        <f>('Tuition-4Yr'!AK16/'Total E&amp;G-4yr'!AK16)*100</f>
        <v>33.118702790027982</v>
      </c>
      <c r="D22" s="84">
        <f>('State Appropriations-4Yr'!AK16)/('Total E&amp;G-4yr'!AK16)*100</f>
        <v>30.851892115519313</v>
      </c>
      <c r="E22" s="77">
        <f>IF((('Local Appropriations-4Yr'!AK16/'Total E&amp;G-4yr'!AK16)*100)=0,(('Local Appropriations-4Yr'!AK16/'Total E&amp;G-4yr'!AK16)*100),IF((('Local Appropriations-4Yr'!AK16/'Total E&amp;G-4yr'!AK16)*100)&gt;=0.05,('Local Appropriations-4Yr'!AK16/'Total E&amp;G-4yr'!AK16)*100,"*"))</f>
        <v>0</v>
      </c>
      <c r="F22" s="84">
        <f>('Fed Contracts Grnts-4Yr'!AK16)/('Total E&amp;G-4yr'!AK16)*100</f>
        <v>16.840346514339394</v>
      </c>
      <c r="G22" s="77">
        <f>('Other Contract Grnts-4Yr'!AK16)/('Total E&amp;G-4yr'!AK16)*100</f>
        <v>10.988122819813897</v>
      </c>
      <c r="H22" s="84">
        <f>('All Other E&amp;G-4Yr'!AK16+'Investment Income-4Yr'!AK16)/('Total E&amp;G-4yr'!AK16)*100</f>
        <v>8.2009357602994157</v>
      </c>
      <c r="I22" s="84">
        <f t="shared" si="7"/>
        <v>4.7342245444589928</v>
      </c>
      <c r="J22" s="84">
        <f t="shared" si="8"/>
        <v>-3.3835253534538623</v>
      </c>
      <c r="K22" s="77">
        <f t="shared" si="9"/>
        <v>0</v>
      </c>
      <c r="L22" s="84">
        <f t="shared" si="10"/>
        <v>-2.6315901188762894</v>
      </c>
      <c r="M22" s="77">
        <f t="shared" si="11"/>
        <v>0.14002683531834315</v>
      </c>
      <c r="N22" s="84">
        <f t="shared" si="12"/>
        <v>1.1408640925528148</v>
      </c>
      <c r="O22" s="10"/>
      <c r="P22" s="24">
        <f>('Tuition-4Yr'!AF16/'Total E&amp;G-4yr'!AF16)*100</f>
        <v>28.384478245568989</v>
      </c>
      <c r="Q22" s="25">
        <f>('State Appropriations-4Yr'!AF16/'Total E&amp;G-4yr'!AF16)*100</f>
        <v>34.235417468973175</v>
      </c>
      <c r="R22" s="154">
        <f>IF((('Local Appropriations-4Yr'!AF16/'Total E&amp;G-4yr'!AF16)*100)=0,(('Local Appropriations-4Yr'!AF16/'Total E&amp;G-4yr'!AF16)*100),IF((('Local Appropriations-4Yr'!AF16/'Total E&amp;G-4yr'!AF16)*100)&gt;=0.005,(('Local Appropriations-4Yr'!AF16/'Total E&amp;G-4yr'!AF16)*100),"*"))</f>
        <v>0</v>
      </c>
      <c r="S22" s="24">
        <f>('Fed Contracts Grnts-4Yr'!AF16/'Total E&amp;G-4yr'!AF16)*100</f>
        <v>19.471936633215684</v>
      </c>
      <c r="T22" s="26">
        <f>('Other Contract Grnts-4Yr'!AF16/'Total E&amp;G-4yr'!AF16)*100</f>
        <v>10.848095984495554</v>
      </c>
      <c r="U22" s="24">
        <f>(('All Other E&amp;G-4Yr'!AF16+'Investment Income-4Yr'!AF16)/('Total E&amp;G-4yr'!AF16))*100</f>
        <v>7.0600716677466009</v>
      </c>
      <c r="V22" s="24"/>
      <c r="W22" s="103">
        <f t="shared" si="13"/>
        <v>100</v>
      </c>
      <c r="X22" s="104">
        <f t="shared" si="14"/>
        <v>100</v>
      </c>
      <c r="Y22" s="109">
        <f t="shared" si="1"/>
        <v>34.235417468973175</v>
      </c>
      <c r="Z22" s="110">
        <f t="shared" si="2"/>
        <v>30.851892115519313</v>
      </c>
      <c r="AA22" s="109">
        <f t="shared" si="3"/>
        <v>30.320032617711238</v>
      </c>
      <c r="AB22" s="110">
        <f t="shared" si="4"/>
        <v>27.82846933415329</v>
      </c>
      <c r="AC22" s="13">
        <f t="shared" si="5"/>
        <v>100</v>
      </c>
      <c r="AD22" s="13">
        <f t="shared" si="6"/>
        <v>100</v>
      </c>
      <c r="AE22" s="13"/>
      <c r="AF22" s="1"/>
    </row>
    <row r="23" spans="1:32">
      <c r="A23" s="71" t="s">
        <v>31</v>
      </c>
      <c r="B23" s="71"/>
      <c r="C23" s="77">
        <f>('Tuition-4Yr'!AK17/'Total E&amp;G-4yr'!AK17)*100</f>
        <v>44.306387412469064</v>
      </c>
      <c r="D23" s="84">
        <f>('State Appropriations-4Yr'!AK17)/('Total E&amp;G-4yr'!AK17)*100</f>
        <v>16.739842641989704</v>
      </c>
      <c r="E23" s="77">
        <f>IF((('Local Appropriations-4Yr'!AK17/'Total E&amp;G-4yr'!AK17)*100)=0,(('Local Appropriations-4Yr'!AK17/'Total E&amp;G-4yr'!AK17)*100),IF((('Local Appropriations-4Yr'!AK17/'Total E&amp;G-4yr'!AK17)*100)&gt;=0.05,('Local Appropriations-4Yr'!AK17/'Total E&amp;G-4yr'!AK17)*100,"*"))</f>
        <v>7.8797181376777853E-2</v>
      </c>
      <c r="F23" s="84">
        <f>('Fed Contracts Grnts-4Yr'!AK17)/('Total E&amp;G-4yr'!AK17)*100</f>
        <v>13.226786977372001</v>
      </c>
      <c r="G23" s="77">
        <f>('Other Contract Grnts-4Yr'!AK17)/('Total E&amp;G-4yr'!AK17)*100</f>
        <v>17.35390473360037</v>
      </c>
      <c r="H23" s="84">
        <f>('All Other E&amp;G-4Yr'!AK17+'Investment Income-4Yr'!AK17)/('Total E&amp;G-4yr'!AK17)*100</f>
        <v>8.2942810531920834</v>
      </c>
      <c r="I23" s="84">
        <f t="shared" si="7"/>
        <v>9.4274885905033372</v>
      </c>
      <c r="J23" s="84">
        <f t="shared" si="8"/>
        <v>-9.2082398033391044</v>
      </c>
      <c r="K23" s="150">
        <f t="shared" si="9"/>
        <v>-6.8579370278528118E-3</v>
      </c>
      <c r="L23" s="84">
        <f t="shared" si="10"/>
        <v>-1.0143270366591306</v>
      </c>
      <c r="M23" s="77">
        <f t="shared" si="11"/>
        <v>0.58704133201120356</v>
      </c>
      <c r="N23" s="84">
        <f t="shared" si="12"/>
        <v>0.21489485451152035</v>
      </c>
      <c r="O23" s="10"/>
      <c r="P23" s="24">
        <f>('Tuition-4Yr'!AF17/'Total E&amp;G-4yr'!AF17)*100</f>
        <v>34.878898821965727</v>
      </c>
      <c r="Q23" s="25">
        <f>('State Appropriations-4Yr'!AF17/'Total E&amp;G-4yr'!AF17)*100</f>
        <v>25.948082445328808</v>
      </c>
      <c r="R23" s="154">
        <f>IF((('Local Appropriations-4Yr'!AF17/'Total E&amp;G-4yr'!AF17)*100)=0,(('Local Appropriations-4Yr'!AF17/'Total E&amp;G-4yr'!AF17)*100),IF((('Local Appropriations-4Yr'!AF17/'Total E&amp;G-4yr'!AF17)*100)&gt;=0.005,(('Local Appropriations-4Yr'!AF17/'Total E&amp;G-4yr'!AF17)*100),"*"))</f>
        <v>8.5655118404630665E-2</v>
      </c>
      <c r="S23" s="24">
        <f>('Fed Contracts Grnts-4Yr'!AF17/'Total E&amp;G-4yr'!AF17)*100</f>
        <v>14.241114014031131</v>
      </c>
      <c r="T23" s="26">
        <f>('Other Contract Grnts-4Yr'!AF17/'Total E&amp;G-4yr'!AF17)*100</f>
        <v>16.766863401589166</v>
      </c>
      <c r="U23" s="24">
        <f>(('All Other E&amp;G-4Yr'!AF17+'Investment Income-4Yr'!AF17)/('Total E&amp;G-4yr'!AF17))*100</f>
        <v>8.0793861986805631</v>
      </c>
      <c r="V23" s="24"/>
      <c r="W23" s="103">
        <f t="shared" si="13"/>
        <v>100.00000000000003</v>
      </c>
      <c r="X23" s="104">
        <f t="shared" si="14"/>
        <v>100</v>
      </c>
      <c r="Y23" s="109">
        <f t="shared" si="1"/>
        <v>26.033737563733439</v>
      </c>
      <c r="Z23" s="110">
        <f t="shared" si="2"/>
        <v>16.818639823366482</v>
      </c>
      <c r="AA23" s="109">
        <f t="shared" si="3"/>
        <v>31.007977415620296</v>
      </c>
      <c r="AB23" s="110">
        <f t="shared" si="4"/>
        <v>30.580691710972371</v>
      </c>
      <c r="AC23" s="13">
        <f t="shared" si="5"/>
        <v>100.00000000000003</v>
      </c>
      <c r="AD23" s="13">
        <f t="shared" si="6"/>
        <v>100</v>
      </c>
      <c r="AE23" s="13"/>
      <c r="AF23" s="1"/>
    </row>
    <row r="24" spans="1:32">
      <c r="A24" s="71" t="s">
        <v>32</v>
      </c>
      <c r="B24" s="71"/>
      <c r="C24" s="77">
        <f>('Tuition-4Yr'!AK18/'Total E&amp;G-4yr'!AK18)*100</f>
        <v>50.495348553417344</v>
      </c>
      <c r="D24" s="84">
        <f>('State Appropriations-4Yr'!AK18)/('Total E&amp;G-4yr'!AK18)*100</f>
        <v>11.637291183429197</v>
      </c>
      <c r="E24" s="150">
        <f>('Local Appropriations-4Yr'!AK18/'Total E&amp;G-4yr'!AK18)*100</f>
        <v>7.2697277495471953E-3</v>
      </c>
      <c r="F24" s="84">
        <f>('Fed Contracts Grnts-4Yr'!AK18)/('Total E&amp;G-4yr'!AK18)*100</f>
        <v>12.268801658363612</v>
      </c>
      <c r="G24" s="77">
        <f>('Other Contract Grnts-4Yr'!AK18)/('Total E&amp;G-4yr'!AK18)*100</f>
        <v>14.352908069929814</v>
      </c>
      <c r="H24" s="84">
        <f>('All Other E&amp;G-4Yr'!AK18+'Investment Income-4Yr'!AK18)/('Total E&amp;G-4yr'!AK18)*100</f>
        <v>11.238380807110488</v>
      </c>
      <c r="I24" s="84">
        <f t="shared" ref="I24:J29" si="15">IF((C24-P24)=0,(C24-P24),IF((C24-P24)&gt;=0.005,(C24-P24),IF((C24-P24&lt;=-0.005),(C24-P24),"**")))</f>
        <v>0.76342505762341517</v>
      </c>
      <c r="J24" s="84">
        <f t="shared" si="15"/>
        <v>-1.1578905158985666</v>
      </c>
      <c r="K24" s="153">
        <f>E24-R24</f>
        <v>-4.1640600025935007E-3</v>
      </c>
      <c r="L24" s="84">
        <f t="shared" ref="L24:N29" si="16">IF((F24-S24)=0,(F24-S24),IF((F24-S24)&gt;=0.005,(F24-S24),IF((F24-S24&lt;=-0.005),(F24-S24),"**")))</f>
        <v>-2.3008941918056269</v>
      </c>
      <c r="M24" s="77">
        <f t="shared" si="16"/>
        <v>-0.80590655326554028</v>
      </c>
      <c r="N24" s="84">
        <f t="shared" si="16"/>
        <v>3.5054302633489263</v>
      </c>
      <c r="O24" s="10"/>
      <c r="P24" s="24">
        <f>('Tuition-4Yr'!AF18/'Total E&amp;G-4yr'!AF18)*100</f>
        <v>49.731923495793929</v>
      </c>
      <c r="Q24" s="25">
        <f>('State Appropriations-4Yr'!AF18/'Total E&amp;G-4yr'!AF18)*100</f>
        <v>12.795181699327763</v>
      </c>
      <c r="R24" s="154">
        <f>IF((('Local Appropriations-4Yr'!AF18/'Total E&amp;G-4yr'!AF18)*100)=0,(('Local Appropriations-4Yr'!AF18/'Total E&amp;G-4yr'!AF18)*100),IF((('Local Appropriations-4Yr'!AF18/'Total E&amp;G-4yr'!AF18)*100)&gt;=0.005,(('Local Appropriations-4Yr'!AF18/'Total E&amp;G-4yr'!AF18)*100),"*"))</f>
        <v>1.1433787752140696E-2</v>
      </c>
      <c r="S24" s="24">
        <f>('Fed Contracts Grnts-4Yr'!AF18/'Total E&amp;G-4yr'!AF18)*100</f>
        <v>14.569695850169239</v>
      </c>
      <c r="T24" s="26">
        <f>('Other Contract Grnts-4Yr'!AF18/'Total E&amp;G-4yr'!AF18)*100</f>
        <v>15.158814623195354</v>
      </c>
      <c r="U24" s="24">
        <f>(('All Other E&amp;G-4Yr'!AF18+'Investment Income-4Yr'!AF18)/('Total E&amp;G-4yr'!AF18))*100</f>
        <v>7.7329505437615618</v>
      </c>
      <c r="V24" s="24"/>
      <c r="W24" s="103">
        <f t="shared" si="13"/>
        <v>99.999999999999986</v>
      </c>
      <c r="X24" s="104">
        <f t="shared" si="14"/>
        <v>100</v>
      </c>
      <c r="Y24" s="109">
        <f t="shared" si="1"/>
        <v>12.806615487079904</v>
      </c>
      <c r="Z24" s="110">
        <f t="shared" si="2"/>
        <v>11.644560911178743</v>
      </c>
      <c r="AA24" s="109">
        <f t="shared" si="3"/>
        <v>29.728510473364594</v>
      </c>
      <c r="AB24" s="110">
        <f t="shared" si="4"/>
        <v>26.621709728293425</v>
      </c>
      <c r="AC24" s="13">
        <f t="shared" si="5"/>
        <v>99.999999999999986</v>
      </c>
      <c r="AD24" s="13">
        <f t="shared" si="6"/>
        <v>100</v>
      </c>
      <c r="AE24" s="13"/>
      <c r="AF24" s="1"/>
    </row>
    <row r="25" spans="1:32">
      <c r="A25" s="70" t="s">
        <v>33</v>
      </c>
      <c r="B25" s="70"/>
      <c r="C25" s="76">
        <f>('Tuition-4Yr'!AK19/'Total E&amp;G-4yr'!AK19)*100</f>
        <v>41.092044506034796</v>
      </c>
      <c r="D25" s="83">
        <f>('State Appropriations-4Yr'!AK19)/('Total E&amp;G-4yr'!AK19)*100</f>
        <v>25.354652555688855</v>
      </c>
      <c r="E25" s="76">
        <f>IF((('Local Appropriations-4Yr'!AK19/'Total E&amp;G-4yr'!AK19)*100)=0,(('Local Appropriations-4Yr'!AK19/'Total E&amp;G-4yr'!AK19)*100),IF((('Local Appropriations-4Yr'!AK19/'Total E&amp;G-4yr'!AK19)*100)&gt;=0.05,('Local Appropriations-4Yr'!AK19/'Total E&amp;G-4yr'!AK19)*100,"*"))</f>
        <v>0</v>
      </c>
      <c r="F25" s="83">
        <f>('Fed Contracts Grnts-4Yr'!AK19)/('Total E&amp;G-4yr'!AK19)*100</f>
        <v>11.890632782613642</v>
      </c>
      <c r="G25" s="76">
        <f>('Other Contract Grnts-4Yr'!AK19)/('Total E&amp;G-4yr'!AK19)*100</f>
        <v>15.285161292240549</v>
      </c>
      <c r="H25" s="83">
        <f>('All Other E&amp;G-4Yr'!AK19+'Investment Income-4Yr'!AK19)/('Total E&amp;G-4yr'!AK19)*100</f>
        <v>6.3775088634221673</v>
      </c>
      <c r="I25" s="83">
        <f t="shared" si="15"/>
        <v>3.3545953929548418</v>
      </c>
      <c r="J25" s="83">
        <f t="shared" si="15"/>
        <v>0.8382498554503961</v>
      </c>
      <c r="K25" s="76">
        <f>IF((E25-R25)=0,(E25-R25),IF((E25-R25)&gt;=0.005,(E25-R25),IF((E25-R25&lt;=-0.005),(E25-R25),"**")))</f>
        <v>-0.16113189621734411</v>
      </c>
      <c r="L25" s="83">
        <f t="shared" si="16"/>
        <v>-3.7618843834848956</v>
      </c>
      <c r="M25" s="76">
        <f t="shared" si="16"/>
        <v>0.76788051600721907</v>
      </c>
      <c r="N25" s="83">
        <f t="shared" si="16"/>
        <v>-1.0377094847102013</v>
      </c>
      <c r="O25" s="10"/>
      <c r="P25" s="24">
        <f>('Tuition-4Yr'!AF19/'Total E&amp;G-4yr'!AF19)*100</f>
        <v>37.737449113079954</v>
      </c>
      <c r="Q25" s="25">
        <f>('State Appropriations-4Yr'!AF19/'Total E&amp;G-4yr'!AF19)*100</f>
        <v>24.516402700238459</v>
      </c>
      <c r="R25" s="154">
        <f>IF((('Local Appropriations-4Yr'!AF19/'Total E&amp;G-4yr'!AF19)*100)=0,(('Local Appropriations-4Yr'!AF19/'Total E&amp;G-4yr'!AF19)*100),IF((('Local Appropriations-4Yr'!AF19/'Total E&amp;G-4yr'!AF19)*100)&gt;=0.005,(('Local Appropriations-4Yr'!AF19/'Total E&amp;G-4yr'!AF19)*100),"*"))</f>
        <v>0.16113189621734411</v>
      </c>
      <c r="S25" s="24">
        <f>('Fed Contracts Grnts-4Yr'!AF19/'Total E&amp;G-4yr'!AF19)*100</f>
        <v>15.652517166098537</v>
      </c>
      <c r="T25" s="26">
        <f>('Other Contract Grnts-4Yr'!AF19/'Total E&amp;G-4yr'!AF19)*100</f>
        <v>14.51728077623333</v>
      </c>
      <c r="U25" s="24">
        <f>(('All Other E&amp;G-4Yr'!AF19+'Investment Income-4Yr'!AF19)/('Total E&amp;G-4yr'!AF19))*100</f>
        <v>7.4152183481323686</v>
      </c>
      <c r="V25" s="24"/>
      <c r="W25" s="103">
        <f t="shared" si="13"/>
        <v>100</v>
      </c>
      <c r="X25" s="104">
        <f t="shared" si="14"/>
        <v>100</v>
      </c>
      <c r="Y25" s="109">
        <f t="shared" si="1"/>
        <v>24.677534596455803</v>
      </c>
      <c r="Z25" s="110">
        <f t="shared" si="2"/>
        <v>25.354652555688855</v>
      </c>
      <c r="AA25" s="109">
        <f t="shared" si="3"/>
        <v>30.169797942331869</v>
      </c>
      <c r="AB25" s="110">
        <f t="shared" si="4"/>
        <v>27.175794074854188</v>
      </c>
      <c r="AC25" s="13">
        <f t="shared" si="5"/>
        <v>100</v>
      </c>
      <c r="AD25" s="13">
        <f t="shared" si="6"/>
        <v>100</v>
      </c>
      <c r="AE25" s="13"/>
      <c r="AF25" s="1"/>
    </row>
    <row r="26" spans="1:32">
      <c r="A26" s="70" t="s">
        <v>34</v>
      </c>
      <c r="B26" s="70"/>
      <c r="C26" s="76">
        <f>('Tuition-4Yr'!AK20/'Total E&amp;G-4yr'!AK20)*100</f>
        <v>30.165821157072831</v>
      </c>
      <c r="D26" s="83">
        <f>('State Appropriations-4Yr'!AK20)/('Total E&amp;G-4yr'!AK20)*100</f>
        <v>17.639217678903442</v>
      </c>
      <c r="E26" s="76">
        <f>IF((('Local Appropriations-4Yr'!AK20/'Total E&amp;G-4yr'!AK20)*100)=0,(('Local Appropriations-4Yr'!AK20/'Total E&amp;G-4yr'!AK20)*100),IF((('Local Appropriations-4Yr'!AK20/'Total E&amp;G-4yr'!AK20)*100)&gt;=0.05,('Local Appropriations-4Yr'!AK20/'Total E&amp;G-4yr'!AK20)*100,"*"))</f>
        <v>0</v>
      </c>
      <c r="F26" s="83">
        <f>('Fed Contracts Grnts-4Yr'!AK20)/('Total E&amp;G-4yr'!AK20)*100</f>
        <v>11.600552877893653</v>
      </c>
      <c r="G26" s="76">
        <f>('Other Contract Grnts-4Yr'!AK20)/('Total E&amp;G-4yr'!AK20)*100</f>
        <v>13.23850323455601</v>
      </c>
      <c r="H26" s="83">
        <f>('All Other E&amp;G-4Yr'!AK20+'Investment Income-4Yr'!AK20)/('Total E&amp;G-4yr'!AK20)*100</f>
        <v>27.355905051574066</v>
      </c>
      <c r="I26" s="83">
        <f t="shared" si="15"/>
        <v>-4.088215083207654</v>
      </c>
      <c r="J26" s="83">
        <f t="shared" si="15"/>
        <v>-2.0795543058856545</v>
      </c>
      <c r="K26" s="76">
        <f>IF((E26-R26)=0,(E26-R26),IF((E26-R26)&gt;=0.005,(E26-R26),IF((E26-R26&lt;=-0.005),(E26-R26),"**")))</f>
        <v>0</v>
      </c>
      <c r="L26" s="83">
        <f t="shared" si="16"/>
        <v>-1.6157986365506574</v>
      </c>
      <c r="M26" s="148">
        <f t="shared" si="16"/>
        <v>1.2988571773753677E-2</v>
      </c>
      <c r="N26" s="83">
        <f t="shared" si="16"/>
        <v>7.7705794538702158</v>
      </c>
      <c r="O26" s="10"/>
      <c r="P26" s="24">
        <f>('Tuition-4Yr'!AF20/'Total E&amp;G-4yr'!AF20)*100</f>
        <v>34.254036240280485</v>
      </c>
      <c r="Q26" s="25">
        <f>('State Appropriations-4Yr'!AF20/'Total E&amp;G-4yr'!AF20)*100</f>
        <v>19.718771984789097</v>
      </c>
      <c r="R26" s="154">
        <f>IF((('Local Appropriations-4Yr'!AF20/'Total E&amp;G-4yr'!AF20)*100)=0,(('Local Appropriations-4Yr'!AF20/'Total E&amp;G-4yr'!AF20)*100),IF((('Local Appropriations-4Yr'!AF20/'Total E&amp;G-4yr'!AF20)*100)&gt;=0.005,(('Local Appropriations-4Yr'!AF20/'Total E&amp;G-4yr'!AF20)*100),"*"))</f>
        <v>0</v>
      </c>
      <c r="S26" s="24">
        <f>('Fed Contracts Grnts-4Yr'!AF20/'Total E&amp;G-4yr'!AF20)*100</f>
        <v>13.216351514444311</v>
      </c>
      <c r="T26" s="26">
        <f>('Other Contract Grnts-4Yr'!AF20/'Total E&amp;G-4yr'!AF20)*100</f>
        <v>13.225514662782256</v>
      </c>
      <c r="U26" s="24">
        <f>(('All Other E&amp;G-4Yr'!AF20+'Investment Income-4Yr'!AF20)/('Total E&amp;G-4yr'!AF20))*100</f>
        <v>19.58532559770385</v>
      </c>
      <c r="V26" s="24"/>
      <c r="W26" s="103">
        <f t="shared" si="13"/>
        <v>100</v>
      </c>
      <c r="X26" s="104">
        <f t="shared" si="14"/>
        <v>100.00000000000001</v>
      </c>
      <c r="Y26" s="109">
        <f t="shared" si="1"/>
        <v>19.718771984789097</v>
      </c>
      <c r="Z26" s="110">
        <f t="shared" si="2"/>
        <v>17.639217678903442</v>
      </c>
      <c r="AA26" s="109">
        <f t="shared" si="3"/>
        <v>26.441866177226565</v>
      </c>
      <c r="AB26" s="110">
        <f t="shared" si="4"/>
        <v>24.839056112449661</v>
      </c>
      <c r="AC26" s="13">
        <f t="shared" si="5"/>
        <v>99.999999999999986</v>
      </c>
      <c r="AD26" s="13">
        <f t="shared" si="6"/>
        <v>100</v>
      </c>
      <c r="AE26" s="13"/>
      <c r="AF26" s="1"/>
    </row>
    <row r="27" spans="1:32">
      <c r="A27" s="70" t="s">
        <v>35</v>
      </c>
      <c r="B27" s="70"/>
      <c r="C27" s="76">
        <f>('Tuition-4Yr'!AK21/'Total E&amp;G-4yr'!AK21)*100</f>
        <v>48.423518466930091</v>
      </c>
      <c r="D27" s="83">
        <f>('State Appropriations-4Yr'!AK21)/('Total E&amp;G-4yr'!AK21)*100</f>
        <v>18.241792256351722</v>
      </c>
      <c r="E27" s="76">
        <f>IF((('Local Appropriations-4Yr'!AK21/'Total E&amp;G-4yr'!AK21)*100)=0,(('Local Appropriations-4Yr'!AK21/'Total E&amp;G-4yr'!AK21)*100),IF((('Local Appropriations-4Yr'!AK21/'Total E&amp;G-4yr'!AK21)*100)&gt;=0.05,('Local Appropriations-4Yr'!AK21/'Total E&amp;G-4yr'!AK21)*100,"*"))</f>
        <v>0</v>
      </c>
      <c r="F27" s="83">
        <f>('Fed Contracts Grnts-4Yr'!AK21)/('Total E&amp;G-4yr'!AK21)*100</f>
        <v>14.577690569368491</v>
      </c>
      <c r="G27" s="76">
        <f>('Other Contract Grnts-4Yr'!AK21)/('Total E&amp;G-4yr'!AK21)*100</f>
        <v>9.0788746493784362</v>
      </c>
      <c r="H27" s="83">
        <f>('All Other E&amp;G-4Yr'!AK21+'Investment Income-4Yr'!AK21)/('Total E&amp;G-4yr'!AK21)*100</f>
        <v>9.678124057971246</v>
      </c>
      <c r="I27" s="83">
        <f t="shared" si="15"/>
        <v>8.9171055522127816</v>
      </c>
      <c r="J27" s="83">
        <f t="shared" si="15"/>
        <v>-1.3904583326161557</v>
      </c>
      <c r="K27" s="76">
        <f>IF((E27-R27)=0,(E27-R27),IF((E27-R27)&gt;=0.005,(E27-R27),IF((E27-R27&lt;=-0.005),(E27-R27),"**")))</f>
        <v>0</v>
      </c>
      <c r="L27" s="83">
        <f t="shared" si="16"/>
        <v>-0.45752504420693008</v>
      </c>
      <c r="M27" s="76">
        <f t="shared" si="16"/>
        <v>0.94310942884536431</v>
      </c>
      <c r="N27" s="83">
        <f t="shared" si="16"/>
        <v>-8.0122316042350761</v>
      </c>
      <c r="O27" s="10"/>
      <c r="P27" s="24">
        <f>('Tuition-4Yr'!AF21/'Total E&amp;G-4yr'!AF21)*100</f>
        <v>39.506412914717309</v>
      </c>
      <c r="Q27" s="25">
        <f>('State Appropriations-4Yr'!AF21/'Total E&amp;G-4yr'!AF21)*100</f>
        <v>19.632250588967878</v>
      </c>
      <c r="R27" s="154">
        <f>IF((('Local Appropriations-4Yr'!AF21/'Total E&amp;G-4yr'!AF21)*100)=0,(('Local Appropriations-4Yr'!AF21/'Total E&amp;G-4yr'!AF21)*100),IF((('Local Appropriations-4Yr'!AF21/'Total E&amp;G-4yr'!AF21)*100)&gt;=0.005,(('Local Appropriations-4Yr'!AF21/'Total E&amp;G-4yr'!AF21)*100),"*"))</f>
        <v>0</v>
      </c>
      <c r="S27" s="24">
        <f>('Fed Contracts Grnts-4Yr'!AF21/'Total E&amp;G-4yr'!AF21)*100</f>
        <v>15.035215613575421</v>
      </c>
      <c r="T27" s="26">
        <f>('Other Contract Grnts-4Yr'!AF21/'Total E&amp;G-4yr'!AF21)*100</f>
        <v>8.1357652205330719</v>
      </c>
      <c r="U27" s="24">
        <f>(('All Other E&amp;G-4Yr'!AF21+'Investment Income-4Yr'!AF21)/('Total E&amp;G-4yr'!AF21))*100</f>
        <v>17.690355662206322</v>
      </c>
      <c r="V27" s="24"/>
      <c r="W27" s="103">
        <f t="shared" si="13"/>
        <v>100</v>
      </c>
      <c r="X27" s="104">
        <f t="shared" si="14"/>
        <v>99.999999999999972</v>
      </c>
      <c r="Y27" s="109">
        <f t="shared" si="1"/>
        <v>19.632250588967878</v>
      </c>
      <c r="Z27" s="110">
        <f t="shared" si="2"/>
        <v>18.241792256351722</v>
      </c>
      <c r="AA27" s="109">
        <f t="shared" si="3"/>
        <v>23.170980834108491</v>
      </c>
      <c r="AB27" s="110">
        <f t="shared" si="4"/>
        <v>23.656565218746927</v>
      </c>
      <c r="AC27" s="13">
        <f t="shared" si="5"/>
        <v>100</v>
      </c>
      <c r="AD27" s="13">
        <f t="shared" si="6"/>
        <v>99.999999999999986</v>
      </c>
      <c r="AE27" s="13"/>
      <c r="AF27" s="1"/>
    </row>
    <row r="28" spans="1:32">
      <c r="A28" s="69" t="s">
        <v>36</v>
      </c>
      <c r="B28" s="69"/>
      <c r="C28" s="115">
        <f>('Tuition-4Yr'!AK22/'Total E&amp;G-4yr'!AK22)*100</f>
        <v>50.443729207996277</v>
      </c>
      <c r="D28" s="82">
        <f>('State Appropriations-4Yr'!AK22)/('Total E&amp;G-4yr'!AK22)*100</f>
        <v>17.537844494574028</v>
      </c>
      <c r="E28" s="115">
        <f>IF((('Local Appropriations-4Yr'!AK22/'Total E&amp;G-4yr'!AK22)*100)=0,(('Local Appropriations-4Yr'!AK22/'Total E&amp;G-4yr'!AK22)*100),IF((('Local Appropriations-4Yr'!AK22/'Total E&amp;G-4yr'!AK22)*100)&gt;=0.05,('Local Appropriations-4Yr'!AK22/'Total E&amp;G-4yr'!AK22)*100,"*"))</f>
        <v>0</v>
      </c>
      <c r="F28" s="82">
        <f>('Fed Contracts Grnts-4Yr'!AK22)/('Total E&amp;G-4yr'!AK22)*100</f>
        <v>11.703281601870394</v>
      </c>
      <c r="G28" s="115">
        <f>('Other Contract Grnts-4Yr'!AK22)/('Total E&amp;G-4yr'!AK22)*100</f>
        <v>14.994611875338768</v>
      </c>
      <c r="H28" s="117">
        <f>('All Other E&amp;G-4Yr'!AK22+'Investment Income-4Yr'!AK22)/('Total E&amp;G-4yr'!AK22)*100</f>
        <v>5.320532820220528</v>
      </c>
      <c r="I28" s="82">
        <f t="shared" si="15"/>
        <v>5.8396738266446562</v>
      </c>
      <c r="J28" s="82">
        <f t="shared" si="15"/>
        <v>-5.1322804938565554</v>
      </c>
      <c r="K28" s="78">
        <f>IF((E28-R28)=0,(E28-R28),IF((E28-R28)&gt;=0.005,(E28-R28),IF((E28-R28&lt;=-0.005),(E28-R28),"**")))</f>
        <v>0</v>
      </c>
      <c r="L28" s="82">
        <f t="shared" si="16"/>
        <v>-2.0325158149322959</v>
      </c>
      <c r="M28" s="78">
        <f t="shared" si="16"/>
        <v>1.4150262698478304</v>
      </c>
      <c r="N28" s="82">
        <f t="shared" si="16"/>
        <v>-8.990378770365659E-2</v>
      </c>
      <c r="O28" s="10"/>
      <c r="P28" s="24">
        <f>('Tuition-4Yr'!AF22/'Total E&amp;G-4yr'!AF22)*100</f>
        <v>44.604055381351621</v>
      </c>
      <c r="Q28" s="25">
        <f>('State Appropriations-4Yr'!AF22/'Total E&amp;G-4yr'!AF22)*100</f>
        <v>22.670124988430583</v>
      </c>
      <c r="R28" s="154">
        <f>IF((('Local Appropriations-4Yr'!AF22/'Total E&amp;G-4yr'!AF22)*100)=0,(('Local Appropriations-4Yr'!AF22/'Total E&amp;G-4yr'!AF22)*100),IF((('Local Appropriations-4Yr'!AF22/'Total E&amp;G-4yr'!AF22)*100)&gt;=0.005,(('Local Appropriations-4Yr'!AF22/'Total E&amp;G-4yr'!AF22)*100),"*"))</f>
        <v>0</v>
      </c>
      <c r="S28" s="24">
        <f>('Fed Contracts Grnts-4Yr'!AF22/'Total E&amp;G-4yr'!AF22)*100</f>
        <v>13.73579741680269</v>
      </c>
      <c r="T28" s="26">
        <f>('Other Contract Grnts-4Yr'!AF22/'Total E&amp;G-4yr'!AF22)*100</f>
        <v>13.579585605490937</v>
      </c>
      <c r="U28" s="24">
        <f>(('All Other E&amp;G-4Yr'!AF22+'Investment Income-4Yr'!AF22)/('Total E&amp;G-4yr'!AF22))*100</f>
        <v>5.4104366079241846</v>
      </c>
      <c r="V28" s="24"/>
      <c r="W28" s="103">
        <f t="shared" si="13"/>
        <v>100.00000000000001</v>
      </c>
      <c r="X28" s="104">
        <f t="shared" si="14"/>
        <v>100</v>
      </c>
      <c r="Y28" s="109">
        <f t="shared" si="1"/>
        <v>22.670124988430583</v>
      </c>
      <c r="Z28" s="110">
        <f t="shared" si="2"/>
        <v>17.537844494574028</v>
      </c>
      <c r="AA28" s="109">
        <f t="shared" si="3"/>
        <v>27.315383022293627</v>
      </c>
      <c r="AB28" s="110">
        <f t="shared" si="4"/>
        <v>26.697893477209163</v>
      </c>
      <c r="AC28" s="13">
        <f t="shared" si="5"/>
        <v>100.00000000000001</v>
      </c>
      <c r="AD28" s="13">
        <f t="shared" si="6"/>
        <v>100</v>
      </c>
      <c r="AE28" s="13"/>
    </row>
    <row r="29" spans="1:32">
      <c r="A29" s="70" t="s">
        <v>37</v>
      </c>
      <c r="B29" s="70"/>
      <c r="C29" s="76">
        <f>('Tuition-4Yr'!AK23/'Total E&amp;G-4yr'!AK23)*100</f>
        <v>37.651485889505906</v>
      </c>
      <c r="D29" s="83">
        <f>('State Appropriations-4Yr'!AK23)/('Total E&amp;G-4yr'!AK23)*100</f>
        <v>17.026565268076016</v>
      </c>
      <c r="E29" s="76">
        <f>IF((('Local Appropriations-4Yr'!AK23/'Total E&amp;G-4yr'!AK23)*100)=0,(('Local Appropriations-4Yr'!AK23/'Total E&amp;G-4yr'!AK23)*100),IF((('Local Appropriations-4Yr'!AK23/'Total E&amp;G-4yr'!AK23)*100)&gt;=0.05,('Local Appropriations-4Yr'!AK23/'Total E&amp;G-4yr'!AK23)*100,"*"))</f>
        <v>0.23669946165365746</v>
      </c>
      <c r="F29" s="83">
        <f>('Fed Contracts Grnts-4Yr'!AK23)/('Total E&amp;G-4yr'!AK23)*100</f>
        <v>16.74590456408388</v>
      </c>
      <c r="G29" s="76">
        <f>('Other Contract Grnts-4Yr'!AK23)/('Total E&amp;G-4yr'!AK23)*100</f>
        <v>12.803252650980159</v>
      </c>
      <c r="H29" s="83">
        <f>('All Other E&amp;G-4Yr'!AK23+'Investment Income-4Yr'!AK23)/('Total E&amp;G-4yr'!AK23)*100</f>
        <v>15.536092165700364</v>
      </c>
      <c r="I29" s="83">
        <f t="shared" si="15"/>
        <v>1.1850394363708716</v>
      </c>
      <c r="J29" s="83">
        <f t="shared" si="15"/>
        <v>-1.4550580069091055</v>
      </c>
      <c r="K29" s="76">
        <f>IF((E29-R29)=0,(E29-R29),IF((E29-R29)&gt;=0.005,(E29-R29),IF((E29-R29&lt;=-0.005),(E29-R29),"**")))</f>
        <v>0.21754737836825511</v>
      </c>
      <c r="L29" s="83">
        <f t="shared" si="16"/>
        <v>-4.4029865679618965</v>
      </c>
      <c r="M29" s="76">
        <f t="shared" si="16"/>
        <v>-0.39908329234642537</v>
      </c>
      <c r="N29" s="83">
        <f t="shared" si="16"/>
        <v>4.8545410524782735</v>
      </c>
      <c r="O29" s="10"/>
      <c r="P29" s="24">
        <f>('Tuition-4Yr'!AF23/'Total E&amp;G-4yr'!AF23)*100</f>
        <v>36.466446453135035</v>
      </c>
      <c r="Q29" s="25">
        <f>('State Appropriations-4Yr'!AF23/'Total E&amp;G-4yr'!AF23)*100</f>
        <v>18.481623274985122</v>
      </c>
      <c r="R29" s="154">
        <f>IF((('Local Appropriations-4Yr'!AF23/'Total E&amp;G-4yr'!AF23)*100)=0,(('Local Appropriations-4Yr'!AF23/'Total E&amp;G-4yr'!AF23)*100),IF((('Local Appropriations-4Yr'!AF23/'Total E&amp;G-4yr'!AF23)*100)&gt;=0.005,(('Local Appropriations-4Yr'!AF23/'Total E&amp;G-4yr'!AF23)*100),"*"))</f>
        <v>1.9152083285402362E-2</v>
      </c>
      <c r="S29" s="24">
        <f>('Fed Contracts Grnts-4Yr'!AF23/'Total E&amp;G-4yr'!AF23)*100</f>
        <v>21.148891132045776</v>
      </c>
      <c r="T29" s="26">
        <f>('Other Contract Grnts-4Yr'!AF23/'Total E&amp;G-4yr'!AF23)*100</f>
        <v>13.202335943326585</v>
      </c>
      <c r="U29" s="24">
        <f>(('All Other E&amp;G-4Yr'!AF23+'Investment Income-4Yr'!AF23)/('Total E&amp;G-4yr'!AF23))*100</f>
        <v>10.68155111322209</v>
      </c>
      <c r="W29" s="103">
        <f t="shared" si="13"/>
        <v>100.00000000000001</v>
      </c>
      <c r="X29" s="104">
        <f t="shared" si="14"/>
        <v>99.999999999999972</v>
      </c>
      <c r="Y29" s="109">
        <f t="shared" si="1"/>
        <v>18.500775358270523</v>
      </c>
      <c r="Z29" s="110">
        <f t="shared" si="2"/>
        <v>17.263264729729674</v>
      </c>
      <c r="AA29" s="109">
        <f t="shared" si="3"/>
        <v>34.351227075372364</v>
      </c>
      <c r="AB29" s="110">
        <f t="shared" si="4"/>
        <v>29.549157215064039</v>
      </c>
      <c r="AC29" s="13">
        <f t="shared" si="5"/>
        <v>100.00000000000001</v>
      </c>
      <c r="AD29" s="13">
        <f t="shared" si="6"/>
        <v>99.999999999999986</v>
      </c>
      <c r="AE29" s="13"/>
    </row>
    <row r="30" spans="1:32">
      <c r="A30" s="70"/>
      <c r="B30" s="70"/>
      <c r="C30" s="76"/>
      <c r="D30" s="83"/>
      <c r="E30" s="76"/>
      <c r="F30" s="83"/>
      <c r="G30" s="76"/>
      <c r="H30" s="83"/>
      <c r="I30" s="83"/>
      <c r="J30" s="83"/>
      <c r="K30" s="76"/>
      <c r="L30" s="83"/>
      <c r="M30" s="76"/>
      <c r="N30" s="83"/>
      <c r="O30" s="1"/>
      <c r="P30" s="24"/>
      <c r="Q30" s="25"/>
      <c r="R30" s="154"/>
      <c r="S30" s="24"/>
      <c r="T30" s="26"/>
      <c r="U30" s="24"/>
      <c r="W30" s="103"/>
      <c r="X30" s="104"/>
      <c r="Y30" s="109"/>
      <c r="Z30" s="110"/>
      <c r="AA30" s="109"/>
      <c r="AB30" s="110"/>
      <c r="AC30" s="13"/>
      <c r="AD30" s="13"/>
      <c r="AE30" s="13"/>
    </row>
    <row r="31" spans="1:32">
      <c r="A31" s="71" t="s">
        <v>38</v>
      </c>
      <c r="B31" s="71"/>
      <c r="C31" s="77">
        <f>('Tuition-4Yr'!AK25/'Total E&amp;G-4yr'!AK25)*100</f>
        <v>24.082559302578645</v>
      </c>
      <c r="D31" s="84">
        <f>('State Appropriations-4Yr'!AK25)/('Total E&amp;G-4yr'!AK25)*100</f>
        <v>42.87407161438059</v>
      </c>
      <c r="E31" s="77">
        <f>IF((('Local Appropriations-4Yr'!AK25/'Total E&amp;G-4yr'!AK25)*100)=0,(('Local Appropriations-4Yr'!AK25/'Total E&amp;G-4yr'!AK25)*100),IF((('Local Appropriations-4Yr'!AK25/'Total E&amp;G-4yr'!AK25)*100)&gt;=0.05,('Local Appropriations-4Yr'!AK25/'Total E&amp;G-4yr'!AK25)*100,"*"))</f>
        <v>0.10868637735692573</v>
      </c>
      <c r="F31" s="84">
        <f>('Fed Contracts Grnts-4Yr'!AK25)/('Total E&amp;G-4yr'!AK25)*100</f>
        <v>19.798242706209717</v>
      </c>
      <c r="G31" s="77">
        <f>('Other Contract Grnts-4Yr'!AK25)/('Total E&amp;G-4yr'!AK25)*100</f>
        <v>7.9529923864228067</v>
      </c>
      <c r="H31" s="84">
        <f>('All Other E&amp;G-4Yr'!AK25+'Investment Income-4Yr'!AK25)/('Total E&amp;G-4yr'!AK25)*100</f>
        <v>5.1834476130513139</v>
      </c>
      <c r="I31" s="84">
        <f t="shared" ref="I31:I43" si="17">IF((C31-P31)=0,(C31-P31),IF((C31-P31)&gt;=0.005,(C31-P31),IF((C31-P31&lt;=-0.005),(C31-P31),"**")))</f>
        <v>5.2276360971228044</v>
      </c>
      <c r="J31" s="84">
        <f t="shared" ref="J31:J43" si="18">IF((D31-Q31)=0,(D31-Q31),IF((D31-Q31)&gt;=0.005,(D31-Q31),IF((D31-Q31&lt;=-0.005),(D31-Q31),"**")))</f>
        <v>-5.1731781406873765</v>
      </c>
      <c r="K31" s="77">
        <f t="shared" ref="K31:K43" si="19">IF((E31-R31)=0,(E31-R31),IF((E31-R31)&gt;=0.005,(E31-R31),IF((E31-R31&lt;=-0.005),(E31-R31),"**")))</f>
        <v>0.10868637735692573</v>
      </c>
      <c r="L31" s="84">
        <f t="shared" ref="L31:L43" si="20">IF((F31-S31)=0,(F31-S31),IF((F31-S31)&gt;=0.005,(F31-S31),IF((F31-S31&lt;=-0.005),(F31-S31),"**")))</f>
        <v>0.65287303469136759</v>
      </c>
      <c r="M31" s="77">
        <f t="shared" ref="M31:M43" si="21">IF((G31-T31)=0,(G31-T31),IF((G31-T31)&gt;=0.005,(G31-T31),IF((G31-T31&lt;=-0.005),(G31-T31),"**")))</f>
        <v>-1.3111056639880694</v>
      </c>
      <c r="N31" s="84">
        <f t="shared" ref="N31:N43" si="22">IF((H31-U31)=0,(H31-U31),IF((H31-U31)&gt;=0.005,(H31-U31),IF((H31-U31&lt;=-0.005),(H31-U31),"**")))</f>
        <v>0.49508829550435962</v>
      </c>
      <c r="O31" s="1"/>
      <c r="P31" s="24">
        <f>('Tuition-4Yr'!AF25/'Total E&amp;G-4yr'!AF25)*100</f>
        <v>18.85492320545584</v>
      </c>
      <c r="Q31" s="25">
        <f>('State Appropriations-4Yr'!AF25/'Total E&amp;G-4yr'!AF25)*100</f>
        <v>48.047249755067966</v>
      </c>
      <c r="R31" s="154">
        <f>IF((('Local Appropriations-4Yr'!AF25/'Total E&amp;G-4yr'!AF25)*100)=0,(('Local Appropriations-4Yr'!AF25/'Total E&amp;G-4yr'!AF25)*100),IF((('Local Appropriations-4Yr'!AF25/'Total E&amp;G-4yr'!AF25)*100)&gt;=0.005,(('Local Appropriations-4Yr'!AF25/'Total E&amp;G-4yr'!AF25)*100),"*"))</f>
        <v>0</v>
      </c>
      <c r="S31" s="24">
        <f>('Fed Contracts Grnts-4Yr'!AF25/'Total E&amp;G-4yr'!AF25)*100</f>
        <v>19.145369671518349</v>
      </c>
      <c r="T31" s="26">
        <f>('Other Contract Grnts-4Yr'!AF25/'Total E&amp;G-4yr'!AF25)*100</f>
        <v>9.2640980504108761</v>
      </c>
      <c r="U31" s="24">
        <f>(('All Other E&amp;G-4Yr'!AF25+'Investment Income-4Yr'!AF25)/('Total E&amp;G-4yr'!AF25))*100</f>
        <v>4.6883593175469542</v>
      </c>
      <c r="W31" s="103">
        <f t="shared" ref="W31:W44" si="23">SUM(P31:U31)</f>
        <v>100</v>
      </c>
      <c r="X31" s="104">
        <f t="shared" ref="X31:X44" si="24">SUM(C31:H31)</f>
        <v>100</v>
      </c>
      <c r="Y31" s="109">
        <f t="shared" si="1"/>
        <v>48.047249755067966</v>
      </c>
      <c r="Z31" s="110">
        <f t="shared" si="2"/>
        <v>42.982757991737515</v>
      </c>
      <c r="AA31" s="109">
        <f t="shared" si="3"/>
        <v>28.409467721929225</v>
      </c>
      <c r="AB31" s="110">
        <f t="shared" si="4"/>
        <v>27.751235092632523</v>
      </c>
      <c r="AC31" s="13">
        <f t="shared" si="5"/>
        <v>100</v>
      </c>
      <c r="AD31" s="13">
        <f t="shared" si="6"/>
        <v>100</v>
      </c>
      <c r="AE31" s="13"/>
    </row>
    <row r="32" spans="1:32">
      <c r="A32" s="71" t="s">
        <v>39</v>
      </c>
      <c r="B32" s="71"/>
      <c r="C32" s="77">
        <f>('Tuition-4Yr'!AK26/'Total E&amp;G-4yr'!AK26)*100</f>
        <v>56.114393849547895</v>
      </c>
      <c r="D32" s="84">
        <f>('State Appropriations-4Yr'!AK26)/('Total E&amp;G-4yr'!AK26)*100</f>
        <v>11.109875172130016</v>
      </c>
      <c r="E32" s="150">
        <f>('Local Appropriations-4Yr'!AK26/'Total E&amp;G-4yr'!AK26)*100</f>
        <v>1.6049086182942943E-2</v>
      </c>
      <c r="F32" s="84">
        <f>('Fed Contracts Grnts-4Yr'!AK26)/('Total E&amp;G-4yr'!AK26)*100</f>
        <v>16.136185073177526</v>
      </c>
      <c r="G32" s="77">
        <f>('Other Contract Grnts-4Yr'!AK26)/('Total E&amp;G-4yr'!AK26)*100</f>
        <v>8.8457509189587924</v>
      </c>
      <c r="H32" s="84">
        <f>('All Other E&amp;G-4Yr'!AK26+'Investment Income-4Yr'!AK26)/('Total E&amp;G-4yr'!AK26)*100</f>
        <v>7.7777459000028362</v>
      </c>
      <c r="I32" s="84">
        <f t="shared" si="17"/>
        <v>7.1851855731659811</v>
      </c>
      <c r="J32" s="84">
        <f t="shared" si="18"/>
        <v>-5.7483867940907789</v>
      </c>
      <c r="K32" s="150">
        <f t="shared" si="19"/>
        <v>-1.0659221809364312E-2</v>
      </c>
      <c r="L32" s="84">
        <f t="shared" si="20"/>
        <v>-3.1764928695842904</v>
      </c>
      <c r="M32" s="77">
        <f t="shared" si="21"/>
        <v>0.50352423131078439</v>
      </c>
      <c r="N32" s="84">
        <f t="shared" si="22"/>
        <v>1.2468290810076823</v>
      </c>
      <c r="O32" s="1"/>
      <c r="P32" s="24">
        <f>('Tuition-4Yr'!AF26/'Total E&amp;G-4yr'!AF26)*100</f>
        <v>48.929208276381914</v>
      </c>
      <c r="Q32" s="25">
        <f>('State Appropriations-4Yr'!AF26/'Total E&amp;G-4yr'!AF26)*100</f>
        <v>16.858261966220795</v>
      </c>
      <c r="R32" s="154">
        <f>IF((('Local Appropriations-4Yr'!AF26/'Total E&amp;G-4yr'!AF26)*100)=0,(('Local Appropriations-4Yr'!AF26/'Total E&amp;G-4yr'!AF26)*100),IF((('Local Appropriations-4Yr'!AF26/'Total E&amp;G-4yr'!AF26)*100)&gt;=0.005,(('Local Appropriations-4Yr'!AF26/'Total E&amp;G-4yr'!AF26)*100),"*"))</f>
        <v>2.6708307992307254E-2</v>
      </c>
      <c r="S32" s="24">
        <f>('Fed Contracts Grnts-4Yr'!AF26/'Total E&amp;G-4yr'!AF26)*100</f>
        <v>19.312677942761816</v>
      </c>
      <c r="T32" s="26">
        <f>('Other Contract Grnts-4Yr'!AF26/'Total E&amp;G-4yr'!AF26)*100</f>
        <v>8.342226687648008</v>
      </c>
      <c r="U32" s="24">
        <f>(('All Other E&amp;G-4Yr'!AF26+'Investment Income-4Yr'!AF26)/('Total E&amp;G-4yr'!AF26))*100</f>
        <v>6.5309168189951539</v>
      </c>
      <c r="W32" s="103">
        <f t="shared" si="23"/>
        <v>99.999999999999986</v>
      </c>
      <c r="X32" s="104">
        <f t="shared" si="24"/>
        <v>100.00000000000001</v>
      </c>
      <c r="Y32" s="109">
        <f t="shared" si="1"/>
        <v>16.884970274213103</v>
      </c>
      <c r="Z32" s="110">
        <f t="shared" si="2"/>
        <v>11.125924258312958</v>
      </c>
      <c r="AA32" s="109">
        <f t="shared" si="3"/>
        <v>27.654904630409824</v>
      </c>
      <c r="AB32" s="110">
        <f t="shared" si="4"/>
        <v>24.981935992136318</v>
      </c>
      <c r="AC32" s="13">
        <f t="shared" si="5"/>
        <v>100</v>
      </c>
      <c r="AD32" s="13">
        <f t="shared" si="6"/>
        <v>100</v>
      </c>
      <c r="AE32" s="13"/>
    </row>
    <row r="33" spans="1:31">
      <c r="A33" s="71" t="s">
        <v>40</v>
      </c>
      <c r="B33" s="71"/>
      <c r="C33" s="77">
        <f>('Tuition-4Yr'!AK27/'Total E&amp;G-4yr'!AK27)*100</f>
        <v>34.811468270117764</v>
      </c>
      <c r="D33" s="84">
        <f>('State Appropriations-4Yr'!AK27)/('Total E&amp;G-4yr'!AK27)*100</f>
        <v>18.469374726765185</v>
      </c>
      <c r="E33" s="77">
        <f>IF((('Local Appropriations-4Yr'!AK27/'Total E&amp;G-4yr'!AK27)*100)=0,(('Local Appropriations-4Yr'!AK27/'Total E&amp;G-4yr'!AK27)*100),IF((('Local Appropriations-4Yr'!AK27/'Total E&amp;G-4yr'!AK27)*100)&gt;=0.05,('Local Appropriations-4Yr'!AK27/'Total E&amp;G-4yr'!AK27)*100,"*"))</f>
        <v>0</v>
      </c>
      <c r="F33" s="84">
        <f>('Fed Contracts Grnts-4Yr'!AK27)/('Total E&amp;G-4yr'!AK27)*100</f>
        <v>14.134281335493906</v>
      </c>
      <c r="G33" s="77">
        <f>('Other Contract Grnts-4Yr'!AK27)/('Total E&amp;G-4yr'!AK27)*100</f>
        <v>13.09729414260932</v>
      </c>
      <c r="H33" s="84">
        <f>('All Other E&amp;G-4Yr'!AK27+'Investment Income-4Yr'!AK27)/('Total E&amp;G-4yr'!AK27)*100</f>
        <v>19.487581525013834</v>
      </c>
      <c r="I33" s="84">
        <f t="shared" si="17"/>
        <v>0.17148486354567183</v>
      </c>
      <c r="J33" s="84">
        <f t="shared" si="18"/>
        <v>-1.5506914337334301</v>
      </c>
      <c r="K33" s="77">
        <f t="shared" si="19"/>
        <v>0</v>
      </c>
      <c r="L33" s="84">
        <f t="shared" si="20"/>
        <v>-5.0444730145764325</v>
      </c>
      <c r="M33" s="77">
        <f t="shared" si="21"/>
        <v>-1.1793977442236177</v>
      </c>
      <c r="N33" s="84">
        <f t="shared" si="22"/>
        <v>7.6030773289878031</v>
      </c>
      <c r="O33" s="1"/>
      <c r="P33" s="24">
        <f>('Tuition-4Yr'!AF27/'Total E&amp;G-4yr'!AF27)*100</f>
        <v>34.639983406572092</v>
      </c>
      <c r="Q33" s="25">
        <f>('State Appropriations-4Yr'!AF27/'Total E&amp;G-4yr'!AF27)*100</f>
        <v>20.020066160498615</v>
      </c>
      <c r="R33" s="154">
        <f>IF((('Local Appropriations-4Yr'!AF27/'Total E&amp;G-4yr'!AF27)*100)=0,(('Local Appropriations-4Yr'!AF27/'Total E&amp;G-4yr'!AF27)*100),IF((('Local Appropriations-4Yr'!AF27/'Total E&amp;G-4yr'!AF27)*100)&gt;=0.005,(('Local Appropriations-4Yr'!AF27/'Total E&amp;G-4yr'!AF27)*100),"*"))</f>
        <v>0</v>
      </c>
      <c r="S33" s="24">
        <f>('Fed Contracts Grnts-4Yr'!AF27/'Total E&amp;G-4yr'!AF27)*100</f>
        <v>19.178754350070339</v>
      </c>
      <c r="T33" s="26">
        <f>('Other Contract Grnts-4Yr'!AF27/'Total E&amp;G-4yr'!AF27)*100</f>
        <v>14.276691886832937</v>
      </c>
      <c r="U33" s="24">
        <f>(('All Other E&amp;G-4Yr'!AF27+'Investment Income-4Yr'!AF27)/('Total E&amp;G-4yr'!AF27))*100</f>
        <v>11.884504196026031</v>
      </c>
      <c r="W33" s="103">
        <f t="shared" si="23"/>
        <v>100.00000000000001</v>
      </c>
      <c r="X33" s="104">
        <f t="shared" si="24"/>
        <v>100.00000000000001</v>
      </c>
      <c r="Y33" s="109">
        <f t="shared" si="1"/>
        <v>20.020066160498615</v>
      </c>
      <c r="Z33" s="110">
        <f t="shared" si="2"/>
        <v>18.469374726765185</v>
      </c>
      <c r="AA33" s="109">
        <f t="shared" si="3"/>
        <v>33.455446236903278</v>
      </c>
      <c r="AB33" s="110">
        <f t="shared" si="4"/>
        <v>27.231575478103224</v>
      </c>
      <c r="AC33" s="13">
        <f t="shared" si="5"/>
        <v>100.00000000000003</v>
      </c>
      <c r="AD33" s="13">
        <f t="shared" si="6"/>
        <v>100</v>
      </c>
      <c r="AE33" s="13"/>
    </row>
    <row r="34" spans="1:31">
      <c r="A34" s="71" t="s">
        <v>41</v>
      </c>
      <c r="B34" s="71"/>
      <c r="C34" s="77">
        <f>('Tuition-4Yr'!AK28/'Total E&amp;G-4yr'!AK28)*100</f>
        <v>47.66823411338116</v>
      </c>
      <c r="D34" s="84">
        <f>('State Appropriations-4Yr'!AK28)/('Total E&amp;G-4yr'!AK28)*100</f>
        <v>0.47741068472507792</v>
      </c>
      <c r="E34" s="77">
        <f>IF((('Local Appropriations-4Yr'!AK28/'Total E&amp;G-4yr'!AK28)*100)=0,(('Local Appropriations-4Yr'!AK28/'Total E&amp;G-4yr'!AK28)*100),IF((('Local Appropriations-4Yr'!AK28/'Total E&amp;G-4yr'!AK28)*100)&gt;=0.05,('Local Appropriations-4Yr'!AK28/'Total E&amp;G-4yr'!AK28)*100,"*"))</f>
        <v>0.78410846820578894</v>
      </c>
      <c r="F34" s="84">
        <f>('Fed Contracts Grnts-4Yr'!AK28)/('Total E&amp;G-4yr'!AK28)*100</f>
        <v>21.617122496115368</v>
      </c>
      <c r="G34" s="77">
        <f>('Other Contract Grnts-4Yr'!AK28)/('Total E&amp;G-4yr'!AK28)*100</f>
        <v>17.72637224170073</v>
      </c>
      <c r="H34" s="84">
        <f>('All Other E&amp;G-4Yr'!AK28+'Investment Income-4Yr'!AK28)/('Total E&amp;G-4yr'!AK28)*100</f>
        <v>11.726751995871878</v>
      </c>
      <c r="I34" s="84">
        <f t="shared" si="17"/>
        <v>-3.5681765796219622</v>
      </c>
      <c r="J34" s="152">
        <f t="shared" si="18"/>
        <v>2.1513373339614394E-2</v>
      </c>
      <c r="K34" s="77">
        <f t="shared" si="19"/>
        <v>0.78410846820578894</v>
      </c>
      <c r="L34" s="84">
        <f t="shared" si="20"/>
        <v>-4.0557375562871627</v>
      </c>
      <c r="M34" s="77">
        <f t="shared" si="21"/>
        <v>0.33229081300004992</v>
      </c>
      <c r="N34" s="84">
        <f t="shared" si="22"/>
        <v>6.4860014813636777</v>
      </c>
      <c r="O34" s="1"/>
      <c r="P34" s="24">
        <f>('Tuition-4Yr'!AF28/'Total E&amp;G-4yr'!AF28)*100</f>
        <v>51.236410693003123</v>
      </c>
      <c r="Q34" s="25">
        <f>('State Appropriations-4Yr'!AF28/'Total E&amp;G-4yr'!AF28)*100</f>
        <v>0.45589731138546352</v>
      </c>
      <c r="R34" s="154">
        <f>IF((('Local Appropriations-4Yr'!AF28/'Total E&amp;G-4yr'!AF28)*100)=0,(('Local Appropriations-4Yr'!AF28/'Total E&amp;G-4yr'!AF28)*100),IF((('Local Appropriations-4Yr'!AF28/'Total E&amp;G-4yr'!AF28)*100)&gt;=0.005,(('Local Appropriations-4Yr'!AF28/'Total E&amp;G-4yr'!AF28)*100),"*"))</f>
        <v>0</v>
      </c>
      <c r="S34" s="24">
        <f>('Fed Contracts Grnts-4Yr'!AF28/'Total E&amp;G-4yr'!AF28)*100</f>
        <v>25.67286005240253</v>
      </c>
      <c r="T34" s="26">
        <f>('Other Contract Grnts-4Yr'!AF28/'Total E&amp;G-4yr'!AF28)*100</f>
        <v>17.39408142870068</v>
      </c>
      <c r="U34" s="24">
        <f>(('All Other E&amp;G-4Yr'!AF28+'Investment Income-4Yr'!AF28)/('Total E&amp;G-4yr'!AF28))*100</f>
        <v>5.2407505145081998</v>
      </c>
      <c r="W34" s="103">
        <f t="shared" si="23"/>
        <v>100</v>
      </c>
      <c r="X34" s="104">
        <f t="shared" si="24"/>
        <v>100</v>
      </c>
      <c r="Y34" s="109">
        <f t="shared" si="1"/>
        <v>0.45589731138546352</v>
      </c>
      <c r="Z34" s="110">
        <f t="shared" si="2"/>
        <v>1.2615191529308669</v>
      </c>
      <c r="AA34" s="109">
        <f t="shared" si="3"/>
        <v>43.066941481103214</v>
      </c>
      <c r="AB34" s="110">
        <f t="shared" si="4"/>
        <v>39.343494737816101</v>
      </c>
      <c r="AC34" s="13">
        <f t="shared" si="5"/>
        <v>100</v>
      </c>
      <c r="AD34" s="13">
        <f t="shared" si="6"/>
        <v>100</v>
      </c>
      <c r="AE34" s="13"/>
    </row>
    <row r="35" spans="1:31">
      <c r="A35" s="70" t="s">
        <v>42</v>
      </c>
      <c r="B35" s="70"/>
      <c r="C35" s="76">
        <f>('Tuition-4Yr'!AK29/'Total E&amp;G-4yr'!AK29)*100</f>
        <v>28.12435820677748</v>
      </c>
      <c r="D35" s="83">
        <f>('State Appropriations-4Yr'!AK29)/('Total E&amp;G-4yr'!AK29)*100</f>
        <v>25.679781887537217</v>
      </c>
      <c r="E35" s="76">
        <f>IF((('Local Appropriations-4Yr'!AK29/'Total E&amp;G-4yr'!AK29)*100)=0,(('Local Appropriations-4Yr'!AK29/'Total E&amp;G-4yr'!AK29)*100),IF((('Local Appropriations-4Yr'!AK29/'Total E&amp;G-4yr'!AK29)*100)&gt;=0.05,('Local Appropriations-4Yr'!AK29/'Total E&amp;G-4yr'!AK29)*100,"*"))</f>
        <v>0</v>
      </c>
      <c r="F35" s="83">
        <f>('Fed Contracts Grnts-4Yr'!AK29)/('Total E&amp;G-4yr'!AK29)*100</f>
        <v>20.958766497287751</v>
      </c>
      <c r="G35" s="76">
        <f>('Other Contract Grnts-4Yr'!AK29)/('Total E&amp;G-4yr'!AK29)*100</f>
        <v>22.975143541269681</v>
      </c>
      <c r="H35" s="83">
        <f>('All Other E&amp;G-4Yr'!AK29+'Investment Income-4Yr'!AK29)/('Total E&amp;G-4yr'!AK29)*100</f>
        <v>2.2619498671278704</v>
      </c>
      <c r="I35" s="83">
        <f t="shared" si="17"/>
        <v>-0.10552385899630679</v>
      </c>
      <c r="J35" s="83">
        <f t="shared" si="18"/>
        <v>3.2053372150514967</v>
      </c>
      <c r="K35" s="76">
        <f t="shared" si="19"/>
        <v>0</v>
      </c>
      <c r="L35" s="83">
        <f t="shared" si="20"/>
        <v>-8.6508539002259255</v>
      </c>
      <c r="M35" s="76">
        <f t="shared" si="21"/>
        <v>5.5754952452575886</v>
      </c>
      <c r="N35" s="151">
        <f t="shared" si="22"/>
        <v>-2.4454701086837893E-2</v>
      </c>
      <c r="O35" s="1"/>
      <c r="P35" s="24">
        <f>('Tuition-4Yr'!AF29/'Total E&amp;G-4yr'!AF29)*100</f>
        <v>28.229882065773786</v>
      </c>
      <c r="Q35" s="25">
        <f>('State Appropriations-4Yr'!AF29/'Total E&amp;G-4yr'!AF29)*100</f>
        <v>22.474444672485721</v>
      </c>
      <c r="R35" s="154">
        <f>IF((('Local Appropriations-4Yr'!AF29/'Total E&amp;G-4yr'!AF29)*100)=0,(('Local Appropriations-4Yr'!AF29/'Total E&amp;G-4yr'!AF29)*100),IF((('Local Appropriations-4Yr'!AF29/'Total E&amp;G-4yr'!AF29)*100)&gt;=0.005,(('Local Appropriations-4Yr'!AF29/'Total E&amp;G-4yr'!AF29)*100),"*"))</f>
        <v>0</v>
      </c>
      <c r="S35" s="24">
        <f>('Fed Contracts Grnts-4Yr'!AF29/'Total E&amp;G-4yr'!AF29)*100</f>
        <v>29.609620397513677</v>
      </c>
      <c r="T35" s="26">
        <f>('Other Contract Grnts-4Yr'!AF29/'Total E&amp;G-4yr'!AF29)*100</f>
        <v>17.399648296012092</v>
      </c>
      <c r="U35" s="24">
        <f>(('All Other E&amp;G-4Yr'!AF29+'Investment Income-4Yr'!AF29)/('Total E&amp;G-4yr'!AF29))*100</f>
        <v>2.2864045682147083</v>
      </c>
      <c r="W35" s="103">
        <f t="shared" si="23"/>
        <v>99.999999999999986</v>
      </c>
      <c r="X35" s="104">
        <f t="shared" si="24"/>
        <v>100</v>
      </c>
      <c r="Y35" s="109">
        <f t="shared" si="1"/>
        <v>22.474444672485721</v>
      </c>
      <c r="Z35" s="110">
        <f t="shared" si="2"/>
        <v>25.679781887537217</v>
      </c>
      <c r="AA35" s="109">
        <f t="shared" si="3"/>
        <v>47.009268693525769</v>
      </c>
      <c r="AB35" s="110">
        <f t="shared" si="4"/>
        <v>43.933910038557428</v>
      </c>
      <c r="AC35" s="13">
        <f t="shared" si="5"/>
        <v>99.999999999999972</v>
      </c>
      <c r="AD35" s="13">
        <f t="shared" si="6"/>
        <v>100</v>
      </c>
      <c r="AE35" s="13"/>
    </row>
    <row r="36" spans="1:31">
      <c r="A36" s="70" t="s">
        <v>43</v>
      </c>
      <c r="B36" s="70"/>
      <c r="C36" s="76">
        <f>('Tuition-4Yr'!AK30/'Total E&amp;G-4yr'!AK30)*100</f>
        <v>41.214021685489264</v>
      </c>
      <c r="D36" s="83">
        <f>('State Appropriations-4Yr'!AK30)/('Total E&amp;G-4yr'!AK30)*100</f>
        <v>30.828572681131522</v>
      </c>
      <c r="E36" s="76">
        <f>IF((('Local Appropriations-4Yr'!AK30/'Total E&amp;G-4yr'!AK30)*100)=0,(('Local Appropriations-4Yr'!AK30/'Total E&amp;G-4yr'!AK30)*100),IF((('Local Appropriations-4Yr'!AK30/'Total E&amp;G-4yr'!AK30)*100)&gt;=0.05,('Local Appropriations-4Yr'!AK30/'Total E&amp;G-4yr'!AK30)*100,"*"))</f>
        <v>0</v>
      </c>
      <c r="F36" s="83">
        <f>('Fed Contracts Grnts-4Yr'!AK30)/('Total E&amp;G-4yr'!AK30)*100</f>
        <v>14.349731277966946</v>
      </c>
      <c r="G36" s="76">
        <f>('Other Contract Grnts-4Yr'!AK30)/('Total E&amp;G-4yr'!AK30)*100</f>
        <v>8.6337531284375402</v>
      </c>
      <c r="H36" s="83">
        <f>('All Other E&amp;G-4Yr'!AK30+'Investment Income-4Yr'!AK30)/('Total E&amp;G-4yr'!AK30)*100</f>
        <v>4.9739212269747357</v>
      </c>
      <c r="I36" s="83">
        <f t="shared" si="17"/>
        <v>3.2696473632632035</v>
      </c>
      <c r="J36" s="83">
        <f t="shared" si="18"/>
        <v>0.20988940770992315</v>
      </c>
      <c r="K36" s="76">
        <f t="shared" si="19"/>
        <v>0</v>
      </c>
      <c r="L36" s="83">
        <f t="shared" si="20"/>
        <v>-3.7365804436168837</v>
      </c>
      <c r="M36" s="76">
        <f t="shared" si="21"/>
        <v>-1.253449607536858</v>
      </c>
      <c r="N36" s="83">
        <f t="shared" si="22"/>
        <v>1.5104932801806301</v>
      </c>
      <c r="O36" s="1"/>
      <c r="P36" s="24">
        <f>('Tuition-4Yr'!AF30/'Total E&amp;G-4yr'!AF30)*100</f>
        <v>37.944374322226061</v>
      </c>
      <c r="Q36" s="25">
        <f>('State Appropriations-4Yr'!AF30/'Total E&amp;G-4yr'!AF30)*100</f>
        <v>30.618683273421599</v>
      </c>
      <c r="R36" s="154">
        <f>IF((('Local Appropriations-4Yr'!AF30/'Total E&amp;G-4yr'!AF30)*100)=0,(('Local Appropriations-4Yr'!AF30/'Total E&amp;G-4yr'!AF30)*100),IF((('Local Appropriations-4Yr'!AF30/'Total E&amp;G-4yr'!AF30)*100)&gt;=0.005,(('Local Appropriations-4Yr'!AF30/'Total E&amp;G-4yr'!AF30)*100),"*"))</f>
        <v>0</v>
      </c>
      <c r="S36" s="24">
        <f>('Fed Contracts Grnts-4Yr'!AF30/'Total E&amp;G-4yr'!AF30)*100</f>
        <v>18.086311721583829</v>
      </c>
      <c r="T36" s="26">
        <f>('Other Contract Grnts-4Yr'!AF30/'Total E&amp;G-4yr'!AF30)*100</f>
        <v>9.8872027359743981</v>
      </c>
      <c r="U36" s="24">
        <f>(('All Other E&amp;G-4Yr'!AF30+'Investment Income-4Yr'!AF30)/('Total E&amp;G-4yr'!AF30))*100</f>
        <v>3.4634279467941056</v>
      </c>
      <c r="W36" s="103">
        <f t="shared" si="23"/>
        <v>100</v>
      </c>
      <c r="X36" s="104">
        <f t="shared" si="24"/>
        <v>100.00000000000003</v>
      </c>
      <c r="Y36" s="109">
        <f t="shared" si="1"/>
        <v>30.618683273421599</v>
      </c>
      <c r="Z36" s="110">
        <f t="shared" si="2"/>
        <v>30.828572681131522</v>
      </c>
      <c r="AA36" s="109">
        <f t="shared" si="3"/>
        <v>27.973514457558228</v>
      </c>
      <c r="AB36" s="110">
        <f t="shared" si="4"/>
        <v>22.983484406404486</v>
      </c>
      <c r="AC36" s="13">
        <f t="shared" si="5"/>
        <v>100</v>
      </c>
      <c r="AD36" s="13">
        <f t="shared" si="6"/>
        <v>100</v>
      </c>
      <c r="AE36" s="13"/>
    </row>
    <row r="37" spans="1:31">
      <c r="A37" s="70" t="s">
        <v>44</v>
      </c>
      <c r="B37" s="70"/>
      <c r="C37" s="76">
        <f>('Tuition-4Yr'!AK31/'Total E&amp;G-4yr'!AK31)*100</f>
        <v>41.226918888735433</v>
      </c>
      <c r="D37" s="83">
        <f>('State Appropriations-4Yr'!AK31)/('Total E&amp;G-4yr'!AK31)*100</f>
        <v>20.974087324541046</v>
      </c>
      <c r="E37" s="76">
        <f>IF((('Local Appropriations-4Yr'!AK31/'Total E&amp;G-4yr'!AK31)*100)=0,(('Local Appropriations-4Yr'!AK31/'Total E&amp;G-4yr'!AK31)*100),IF((('Local Appropriations-4Yr'!AK31/'Total E&amp;G-4yr'!AK31)*100)&gt;=0.05,('Local Appropriations-4Yr'!AK31/'Total E&amp;G-4yr'!AK31)*100,"*"))</f>
        <v>5.0825430871925328E-2</v>
      </c>
      <c r="F37" s="83">
        <f>('Fed Contracts Grnts-4Yr'!AK31)/('Total E&amp;G-4yr'!AK31)*100</f>
        <v>19.104630581931065</v>
      </c>
      <c r="G37" s="76">
        <f>('Other Contract Grnts-4Yr'!AK31)/('Total E&amp;G-4yr'!AK31)*100</f>
        <v>8.1595232800481998</v>
      </c>
      <c r="H37" s="83">
        <f>('All Other E&amp;G-4Yr'!AK31+'Investment Income-4Yr'!AK31)/('Total E&amp;G-4yr'!AK31)*100</f>
        <v>10.484014493872328</v>
      </c>
      <c r="I37" s="83">
        <f t="shared" si="17"/>
        <v>-0.39979202118927049</v>
      </c>
      <c r="J37" s="83">
        <f t="shared" si="18"/>
        <v>-2.0255658125492673</v>
      </c>
      <c r="K37" s="76">
        <f t="shared" si="19"/>
        <v>3.9731818717772253E-2</v>
      </c>
      <c r="L37" s="83">
        <f t="shared" si="20"/>
        <v>-1.9430039316722656</v>
      </c>
      <c r="M37" s="76">
        <f t="shared" si="21"/>
        <v>0.39982024698728669</v>
      </c>
      <c r="N37" s="83">
        <f t="shared" si="22"/>
        <v>3.928809699705738</v>
      </c>
      <c r="O37" s="1"/>
      <c r="P37" s="24">
        <f>('Tuition-4Yr'!AF31/'Total E&amp;G-4yr'!AF31)*100</f>
        <v>41.626710909924704</v>
      </c>
      <c r="Q37" s="25">
        <f>('State Appropriations-4Yr'!AF31/'Total E&amp;G-4yr'!AF31)*100</f>
        <v>22.999653137090313</v>
      </c>
      <c r="R37" s="154">
        <f>IF((('Local Appropriations-4Yr'!AF31/'Total E&amp;G-4yr'!AF31)*100)=0,(('Local Appropriations-4Yr'!AF31/'Total E&amp;G-4yr'!AF31)*100),IF((('Local Appropriations-4Yr'!AF31/'Total E&amp;G-4yr'!AF31)*100)&gt;=0.005,(('Local Appropriations-4Yr'!AF31/'Total E&amp;G-4yr'!AF31)*100),"*"))</f>
        <v>1.1093612154153073E-2</v>
      </c>
      <c r="S37" s="24">
        <f>('Fed Contracts Grnts-4Yr'!AF31/'Total E&amp;G-4yr'!AF31)*100</f>
        <v>21.047634513603331</v>
      </c>
      <c r="T37" s="26">
        <f>('Other Contract Grnts-4Yr'!AF31/'Total E&amp;G-4yr'!AF31)*100</f>
        <v>7.7597030330609131</v>
      </c>
      <c r="U37" s="24">
        <f>(('All Other E&amp;G-4Yr'!AF31+'Investment Income-4Yr'!AF31)/('Total E&amp;G-4yr'!AF31))*100</f>
        <v>6.5552047941665901</v>
      </c>
      <c r="W37" s="103">
        <f t="shared" si="23"/>
        <v>100</v>
      </c>
      <c r="X37" s="104">
        <f t="shared" si="24"/>
        <v>100</v>
      </c>
      <c r="Y37" s="109">
        <f t="shared" si="1"/>
        <v>23.010746749244465</v>
      </c>
      <c r="Z37" s="110">
        <f t="shared" si="2"/>
        <v>21.02491275541297</v>
      </c>
      <c r="AA37" s="109">
        <f t="shared" si="3"/>
        <v>28.807337546664243</v>
      </c>
      <c r="AB37" s="110">
        <f t="shared" si="4"/>
        <v>27.264153861979267</v>
      </c>
      <c r="AC37" s="13">
        <f t="shared" si="5"/>
        <v>100</v>
      </c>
      <c r="AD37" s="13">
        <f t="shared" si="6"/>
        <v>100</v>
      </c>
      <c r="AE37" s="13"/>
    </row>
    <row r="38" spans="1:31">
      <c r="A38" s="70" t="s">
        <v>45</v>
      </c>
      <c r="B38" s="70"/>
      <c r="C38" s="76">
        <f>('Tuition-4Yr'!AK32/'Total E&amp;G-4yr'!AK32)*100</f>
        <v>35.926513030884109</v>
      </c>
      <c r="D38" s="83">
        <f>('State Appropriations-4Yr'!AK32)/('Total E&amp;G-4yr'!AK32)*100</f>
        <v>28.295074489345868</v>
      </c>
      <c r="E38" s="76">
        <f>IF((('Local Appropriations-4Yr'!AK32/'Total E&amp;G-4yr'!AK32)*100)=0,(('Local Appropriations-4Yr'!AK32/'Total E&amp;G-4yr'!AK32)*100),IF((('Local Appropriations-4Yr'!AK32/'Total E&amp;G-4yr'!AK32)*100)&gt;=0.05,('Local Appropriations-4Yr'!AK32/'Total E&amp;G-4yr'!AK32)*100,"*"))</f>
        <v>0</v>
      </c>
      <c r="F38" s="83">
        <f>('Fed Contracts Grnts-4Yr'!AK32)/('Total E&amp;G-4yr'!AK32)*100</f>
        <v>14.12196821250954</v>
      </c>
      <c r="G38" s="76">
        <f>('Other Contract Grnts-4Yr'!AK32)/('Total E&amp;G-4yr'!AK32)*100</f>
        <v>8.0686988005147064</v>
      </c>
      <c r="H38" s="83">
        <f>('All Other E&amp;G-4Yr'!AK32+'Investment Income-4Yr'!AK32)/('Total E&amp;G-4yr'!AK32)*100</f>
        <v>13.587745466745766</v>
      </c>
      <c r="I38" s="151">
        <f t="shared" si="17"/>
        <v>2.4766097448072344E-2</v>
      </c>
      <c r="J38" s="151">
        <f t="shared" si="18"/>
        <v>1.3401783837863945E-2</v>
      </c>
      <c r="K38" s="76">
        <f t="shared" si="19"/>
        <v>0</v>
      </c>
      <c r="L38" s="83">
        <f t="shared" si="20"/>
        <v>-3.1403737859053464</v>
      </c>
      <c r="M38" s="76">
        <f t="shared" si="21"/>
        <v>-1.3435818841505984</v>
      </c>
      <c r="N38" s="83">
        <f t="shared" si="22"/>
        <v>4.445787788769989</v>
      </c>
      <c r="O38" s="1"/>
      <c r="P38" s="24">
        <f>('Tuition-4Yr'!AF32/'Total E&amp;G-4yr'!AF32)*100</f>
        <v>35.901746933436037</v>
      </c>
      <c r="Q38" s="25">
        <f>('State Appropriations-4Yr'!AF32/'Total E&amp;G-4yr'!AF32)*100</f>
        <v>28.281672705508004</v>
      </c>
      <c r="R38" s="154">
        <f>IF((('Local Appropriations-4Yr'!AF32/'Total E&amp;G-4yr'!AF32)*100)=0,(('Local Appropriations-4Yr'!AF32/'Total E&amp;G-4yr'!AF32)*100),IF((('Local Appropriations-4Yr'!AF32/'Total E&amp;G-4yr'!AF32)*100)&gt;=0.005,(('Local Appropriations-4Yr'!AF32/'Total E&amp;G-4yr'!AF32)*100),"*"))</f>
        <v>0</v>
      </c>
      <c r="S38" s="24">
        <f>('Fed Contracts Grnts-4Yr'!AF32/'Total E&amp;G-4yr'!AF32)*100</f>
        <v>17.262341998414886</v>
      </c>
      <c r="T38" s="26">
        <f>('Other Contract Grnts-4Yr'!AF32/'Total E&amp;G-4yr'!AF32)*100</f>
        <v>9.4122806846653049</v>
      </c>
      <c r="U38" s="24">
        <f>(('All Other E&amp;G-4Yr'!AF32+'Investment Income-4Yr'!AF32)/('Total E&amp;G-4yr'!AF32))*100</f>
        <v>9.1419576779757765</v>
      </c>
      <c r="W38" s="103">
        <f t="shared" si="23"/>
        <v>100.00000000000001</v>
      </c>
      <c r="X38" s="104">
        <f t="shared" si="24"/>
        <v>100</v>
      </c>
      <c r="Y38" s="109">
        <f t="shared" si="1"/>
        <v>28.281672705508004</v>
      </c>
      <c r="Z38" s="110">
        <f t="shared" si="2"/>
        <v>28.295074489345868</v>
      </c>
      <c r="AA38" s="109">
        <f t="shared" si="3"/>
        <v>26.674622683080191</v>
      </c>
      <c r="AB38" s="110">
        <f t="shared" si="4"/>
        <v>22.190667013024246</v>
      </c>
      <c r="AC38" s="13">
        <f t="shared" si="5"/>
        <v>100</v>
      </c>
      <c r="AD38" s="13">
        <f t="shared" si="6"/>
        <v>100</v>
      </c>
      <c r="AE38" s="13"/>
    </row>
    <row r="39" spans="1:31">
      <c r="A39" s="71" t="s">
        <v>46</v>
      </c>
      <c r="B39" s="71"/>
      <c r="C39" s="77">
        <f>('Tuition-4Yr'!AK33/'Total E&amp;G-4yr'!AK33)*100</f>
        <v>22.086391738086306</v>
      </c>
      <c r="D39" s="84">
        <f>('State Appropriations-4Yr'!AK33)/('Total E&amp;G-4yr'!AK33)*100</f>
        <v>28.174578316823428</v>
      </c>
      <c r="E39" s="77">
        <f>IF((('Local Appropriations-4Yr'!AK33/'Total E&amp;G-4yr'!AK33)*100)=0,(('Local Appropriations-4Yr'!AK33/'Total E&amp;G-4yr'!AK33)*100),IF((('Local Appropriations-4Yr'!AK33/'Total E&amp;G-4yr'!AK33)*100)&gt;=0.05,('Local Appropriations-4Yr'!AK33/'Total E&amp;G-4yr'!AK33)*100,"*"))</f>
        <v>5.2171952654932019</v>
      </c>
      <c r="F39" s="84">
        <f>('Fed Contracts Grnts-4Yr'!AK33)/('Total E&amp;G-4yr'!AK33)*100</f>
        <v>20.829763713208088</v>
      </c>
      <c r="G39" s="77">
        <f>('Other Contract Grnts-4Yr'!AK33)/('Total E&amp;G-4yr'!AK33)*100</f>
        <v>9.5664934491949225</v>
      </c>
      <c r="H39" s="84">
        <f>('All Other E&amp;G-4Yr'!AK33+'Investment Income-4Yr'!AK33)/('Total E&amp;G-4yr'!AK33)*100</f>
        <v>14.125577517194035</v>
      </c>
      <c r="I39" s="84">
        <f t="shared" si="17"/>
        <v>4.2758297460197561</v>
      </c>
      <c r="J39" s="84">
        <f t="shared" si="18"/>
        <v>1.257105488308774</v>
      </c>
      <c r="K39" s="77">
        <f t="shared" si="19"/>
        <v>5.2171952654932019</v>
      </c>
      <c r="L39" s="84">
        <f t="shared" si="20"/>
        <v>-0.72173230138213995</v>
      </c>
      <c r="M39" s="77">
        <f t="shared" si="21"/>
        <v>-0.34668427348130315</v>
      </c>
      <c r="N39" s="84">
        <f t="shared" si="22"/>
        <v>-9.68171392495832</v>
      </c>
      <c r="O39" s="1"/>
      <c r="P39" s="24">
        <f>('Tuition-4Yr'!AF33/'Total E&amp;G-4yr'!AF33)*100</f>
        <v>17.81056199206655</v>
      </c>
      <c r="Q39" s="25">
        <f>('State Appropriations-4Yr'!AF33/'Total E&amp;G-4yr'!AF33)*100</f>
        <v>26.917472828514654</v>
      </c>
      <c r="R39" s="154">
        <f>IF((('Local Appropriations-4Yr'!AF33/'Total E&amp;G-4yr'!AF33)*100)=0,(('Local Appropriations-4Yr'!AF33/'Total E&amp;G-4yr'!AF33)*100),IF((('Local Appropriations-4Yr'!AF33/'Total E&amp;G-4yr'!AF33)*100)&gt;=0.005,(('Local Appropriations-4Yr'!AF33/'Total E&amp;G-4yr'!AF33)*100),"*"))</f>
        <v>0</v>
      </c>
      <c r="S39" s="24">
        <f>('Fed Contracts Grnts-4Yr'!AF33/'Total E&amp;G-4yr'!AF33)*100</f>
        <v>21.551496014590228</v>
      </c>
      <c r="T39" s="26">
        <f>('Other Contract Grnts-4Yr'!AF33/'Total E&amp;G-4yr'!AF33)*100</f>
        <v>9.9131777226762257</v>
      </c>
      <c r="U39" s="24">
        <f>(('All Other E&amp;G-4Yr'!AF33+'Investment Income-4Yr'!AF33)/('Total E&amp;G-4yr'!AF33))*100</f>
        <v>23.807291442152355</v>
      </c>
      <c r="W39" s="103">
        <f t="shared" si="23"/>
        <v>100</v>
      </c>
      <c r="X39" s="104">
        <f t="shared" si="24"/>
        <v>99.999999999999986</v>
      </c>
      <c r="Y39" s="109">
        <f t="shared" si="1"/>
        <v>26.917472828514654</v>
      </c>
      <c r="Z39" s="110">
        <f t="shared" si="2"/>
        <v>33.391773582316631</v>
      </c>
      <c r="AA39" s="109">
        <f t="shared" si="3"/>
        <v>31.464673737266452</v>
      </c>
      <c r="AB39" s="110">
        <f t="shared" si="4"/>
        <v>30.39625716240301</v>
      </c>
      <c r="AC39" s="13">
        <f t="shared" si="5"/>
        <v>100.00000000000001</v>
      </c>
      <c r="AD39" s="13">
        <f t="shared" si="6"/>
        <v>99.999999999999986</v>
      </c>
      <c r="AE39" s="13"/>
    </row>
    <row r="40" spans="1:31">
      <c r="A40" s="71" t="s">
        <v>47</v>
      </c>
      <c r="B40" s="71"/>
      <c r="C40" s="77">
        <f>('Tuition-4Yr'!AK34/'Total E&amp;G-4yr'!AK34)*100</f>
        <v>39.238478629174452</v>
      </c>
      <c r="D40" s="84">
        <f>('State Appropriations-4Yr'!AK34)/('Total E&amp;G-4yr'!AK34)*100</f>
        <v>13.517857842488148</v>
      </c>
      <c r="E40" s="77">
        <f>IF((('Local Appropriations-4Yr'!AK34/'Total E&amp;G-4yr'!AK34)*100)=0,(('Local Appropriations-4Yr'!AK34/'Total E&amp;G-4yr'!AK34)*100),IF((('Local Appropriations-4Yr'!AK34/'Total E&amp;G-4yr'!AK34)*100)&gt;=0.05,('Local Appropriations-4Yr'!AK34/'Total E&amp;G-4yr'!AK34)*100,"*"))</f>
        <v>0.32055073754863089</v>
      </c>
      <c r="F40" s="84">
        <f>('Fed Contracts Grnts-4Yr'!AK34)/('Total E&amp;G-4yr'!AK34)*100</f>
        <v>21.302412627750371</v>
      </c>
      <c r="G40" s="77">
        <f>('Other Contract Grnts-4Yr'!AK34)/('Total E&amp;G-4yr'!AK34)*100</f>
        <v>15.070518083732241</v>
      </c>
      <c r="H40" s="84">
        <f>('All Other E&amp;G-4Yr'!AK34+'Investment Income-4Yr'!AK34)/('Total E&amp;G-4yr'!AK34)*100</f>
        <v>10.550182079306161</v>
      </c>
      <c r="I40" s="84">
        <f t="shared" si="17"/>
        <v>-0.28526350533064715</v>
      </c>
      <c r="J40" s="84">
        <f t="shared" si="18"/>
        <v>1.5956833307062119</v>
      </c>
      <c r="K40" s="150">
        <f t="shared" si="19"/>
        <v>4.182351305757942E-2</v>
      </c>
      <c r="L40" s="84">
        <f t="shared" si="20"/>
        <v>-3.4598426473536747</v>
      </c>
      <c r="M40" s="77">
        <f t="shared" si="21"/>
        <v>1.114648227415822</v>
      </c>
      <c r="N40" s="84">
        <f t="shared" si="22"/>
        <v>0.99295108150472444</v>
      </c>
      <c r="O40" s="1"/>
      <c r="P40" s="24">
        <f>('Tuition-4Yr'!AF34/'Total E&amp;G-4yr'!AF34)*100</f>
        <v>39.523742134505099</v>
      </c>
      <c r="Q40" s="25">
        <f>('State Appropriations-4Yr'!AF34/'Total E&amp;G-4yr'!AF34)*100</f>
        <v>11.922174511781936</v>
      </c>
      <c r="R40" s="154">
        <f>IF((('Local Appropriations-4Yr'!AF34/'Total E&amp;G-4yr'!AF34)*100)=0,(('Local Appropriations-4Yr'!AF34/'Total E&amp;G-4yr'!AF34)*100),IF((('Local Appropriations-4Yr'!AF34/'Total E&amp;G-4yr'!AF34)*100)&gt;=0.005,(('Local Appropriations-4Yr'!AF34/'Total E&amp;G-4yr'!AF34)*100),"*"))</f>
        <v>0.27872722449105147</v>
      </c>
      <c r="S40" s="24">
        <f>('Fed Contracts Grnts-4Yr'!AF34/'Total E&amp;G-4yr'!AF34)*100</f>
        <v>24.762255275104046</v>
      </c>
      <c r="T40" s="26">
        <f>('Other Contract Grnts-4Yr'!AF34/'Total E&amp;G-4yr'!AF34)*100</f>
        <v>13.955869856316419</v>
      </c>
      <c r="U40" s="24">
        <f>(('All Other E&amp;G-4Yr'!AF34+'Investment Income-4Yr'!AF34)/('Total E&amp;G-4yr'!AF34))*100</f>
        <v>9.5572309978014367</v>
      </c>
      <c r="W40" s="103">
        <f t="shared" si="23"/>
        <v>99.999999999999972</v>
      </c>
      <c r="X40" s="104">
        <f t="shared" si="24"/>
        <v>100</v>
      </c>
      <c r="Y40" s="109">
        <f t="shared" si="1"/>
        <v>12.200901736272987</v>
      </c>
      <c r="Z40" s="110">
        <f t="shared" si="2"/>
        <v>13.838408580036779</v>
      </c>
      <c r="AA40" s="109">
        <f t="shared" si="3"/>
        <v>38.718125131420464</v>
      </c>
      <c r="AB40" s="110">
        <f t="shared" si="4"/>
        <v>36.37293071148261</v>
      </c>
      <c r="AC40" s="13">
        <f t="shared" si="5"/>
        <v>99.999999999999986</v>
      </c>
      <c r="AD40" s="13">
        <f t="shared" si="6"/>
        <v>100</v>
      </c>
      <c r="AE40" s="13"/>
    </row>
    <row r="41" spans="1:31">
      <c r="A41" s="71" t="s">
        <v>48</v>
      </c>
      <c r="B41" s="71"/>
      <c r="C41" s="77">
        <f>('Tuition-4Yr'!AK35/'Total E&amp;G-4yr'!AK35)*100</f>
        <v>32.018720980029286</v>
      </c>
      <c r="D41" s="84">
        <f>('State Appropriations-4Yr'!AK35)/('Total E&amp;G-4yr'!AK35)*100</f>
        <v>21.370595271805037</v>
      </c>
      <c r="E41" s="77">
        <f>IF((('Local Appropriations-4Yr'!AK35/'Total E&amp;G-4yr'!AK35)*100)=0,(('Local Appropriations-4Yr'!AK35/'Total E&amp;G-4yr'!AK35)*100),IF((('Local Appropriations-4Yr'!AK35/'Total E&amp;G-4yr'!AK35)*100)&gt;=0.05,('Local Appropriations-4Yr'!AK35/'Total E&amp;G-4yr'!AK35)*100,"*"))</f>
        <v>0</v>
      </c>
      <c r="F41" s="84">
        <f>('Fed Contracts Grnts-4Yr'!AK35)/('Total E&amp;G-4yr'!AK35)*100</f>
        <v>19.196051290827313</v>
      </c>
      <c r="G41" s="77">
        <f>('Other Contract Grnts-4Yr'!AK35)/('Total E&amp;G-4yr'!AK35)*100</f>
        <v>10.314561354024182</v>
      </c>
      <c r="H41" s="84">
        <f>('All Other E&amp;G-4Yr'!AK35+'Investment Income-4Yr'!AK35)/('Total E&amp;G-4yr'!AK35)*100</f>
        <v>17.100071103314182</v>
      </c>
      <c r="I41" s="84">
        <f t="shared" si="17"/>
        <v>-1.028455355175538</v>
      </c>
      <c r="J41" s="84">
        <f t="shared" si="18"/>
        <v>-3.3437675444023682</v>
      </c>
      <c r="K41" s="77">
        <f t="shared" si="19"/>
        <v>0</v>
      </c>
      <c r="L41" s="84">
        <f t="shared" si="20"/>
        <v>-3.6552827742179197</v>
      </c>
      <c r="M41" s="77">
        <f t="shared" si="21"/>
        <v>-1.8714662131789623</v>
      </c>
      <c r="N41" s="84">
        <f t="shared" si="22"/>
        <v>9.8989718869747882</v>
      </c>
      <c r="O41" s="1"/>
      <c r="P41" s="24">
        <f>('Tuition-4Yr'!AF35/'Total E&amp;G-4yr'!AF35)*100</f>
        <v>33.047176335204824</v>
      </c>
      <c r="Q41" s="25">
        <f>('State Appropriations-4Yr'!AF35/'Total E&amp;G-4yr'!AF35)*100</f>
        <v>24.714362816207405</v>
      </c>
      <c r="R41" s="154">
        <f>IF((('Local Appropriations-4Yr'!AF35/'Total E&amp;G-4yr'!AF35)*100)=0,(('Local Appropriations-4Yr'!AF35/'Total E&amp;G-4yr'!AF35)*100),IF((('Local Appropriations-4Yr'!AF35/'Total E&amp;G-4yr'!AF35)*100)&gt;=0.005,(('Local Appropriations-4Yr'!AF35/'Total E&amp;G-4yr'!AF35)*100),"*"))</f>
        <v>0</v>
      </c>
      <c r="S41" s="24">
        <f>('Fed Contracts Grnts-4Yr'!AF35/'Total E&amp;G-4yr'!AF35)*100</f>
        <v>22.851334065045233</v>
      </c>
      <c r="T41" s="26">
        <f>('Other Contract Grnts-4Yr'!AF35/'Total E&amp;G-4yr'!AF35)*100</f>
        <v>12.186027567203144</v>
      </c>
      <c r="U41" s="24">
        <f>(('All Other E&amp;G-4Yr'!AF35+'Investment Income-4Yr'!AF35)/('Total E&amp;G-4yr'!AF35))*100</f>
        <v>7.2010992163393945</v>
      </c>
      <c r="W41" s="103">
        <f t="shared" si="23"/>
        <v>100</v>
      </c>
      <c r="X41" s="104">
        <f t="shared" si="24"/>
        <v>99.999999999999986</v>
      </c>
      <c r="Y41" s="109">
        <f t="shared" si="1"/>
        <v>24.714362816207405</v>
      </c>
      <c r="Z41" s="110">
        <f t="shared" si="2"/>
        <v>21.370595271805037</v>
      </c>
      <c r="AA41" s="109">
        <f t="shared" si="3"/>
        <v>35.037361632248377</v>
      </c>
      <c r="AB41" s="110">
        <f t="shared" si="4"/>
        <v>29.510612644851495</v>
      </c>
      <c r="AC41" s="13">
        <f t="shared" si="5"/>
        <v>100</v>
      </c>
      <c r="AD41" s="13">
        <f t="shared" si="6"/>
        <v>100</v>
      </c>
      <c r="AE41" s="13"/>
    </row>
    <row r="42" spans="1:31">
      <c r="A42" s="71" t="s">
        <v>49</v>
      </c>
      <c r="B42" s="71"/>
      <c r="C42" s="77">
        <f>('Tuition-4Yr'!AK36/'Total E&amp;G-4yr'!AK36)*100</f>
        <v>37.646216388773766</v>
      </c>
      <c r="D42" s="84">
        <f>('State Appropriations-4Yr'!AK36)/('Total E&amp;G-4yr'!AK36)*100</f>
        <v>13.576590915825568</v>
      </c>
      <c r="E42" s="77">
        <f>IF((('Local Appropriations-4Yr'!AK36/'Total E&amp;G-4yr'!AK36)*100)=0,(('Local Appropriations-4Yr'!AK36/'Total E&amp;G-4yr'!AK36)*100),IF((('Local Appropriations-4Yr'!AK36/'Total E&amp;G-4yr'!AK36)*100)&gt;=0.05,('Local Appropriations-4Yr'!AK36/'Total E&amp;G-4yr'!AK36)*100,"*"))</f>
        <v>0</v>
      </c>
      <c r="F42" s="84">
        <f>('Fed Contracts Grnts-4Yr'!AK36)/('Total E&amp;G-4yr'!AK36)*100</f>
        <v>21.536154300993314</v>
      </c>
      <c r="G42" s="77">
        <f>('Other Contract Grnts-4Yr'!AK36)/('Total E&amp;G-4yr'!AK36)*100</f>
        <v>12.837536604217927</v>
      </c>
      <c r="H42" s="84">
        <f>('All Other E&amp;G-4Yr'!AK36+'Investment Income-4Yr'!AK36)/('Total E&amp;G-4yr'!AK36)*100</f>
        <v>14.403501790189422</v>
      </c>
      <c r="I42" s="84">
        <f t="shared" si="17"/>
        <v>2.358656400119024</v>
      </c>
      <c r="J42" s="84">
        <f t="shared" si="18"/>
        <v>1.9358865460685148</v>
      </c>
      <c r="K42" s="77">
        <f t="shared" si="19"/>
        <v>0</v>
      </c>
      <c r="L42" s="84">
        <f t="shared" si="20"/>
        <v>-4.2758819168594435</v>
      </c>
      <c r="M42" s="77">
        <f t="shared" si="21"/>
        <v>0.60484080458722467</v>
      </c>
      <c r="N42" s="84">
        <f t="shared" si="22"/>
        <v>-0.62350183391531822</v>
      </c>
      <c r="O42" s="1"/>
      <c r="P42" s="24">
        <f>('Tuition-4Yr'!AF36/'Total E&amp;G-4yr'!AF36)*100</f>
        <v>35.287559988654742</v>
      </c>
      <c r="Q42" s="25">
        <f>('State Appropriations-4Yr'!AF36/'Total E&amp;G-4yr'!AF36)*100</f>
        <v>11.640704369757053</v>
      </c>
      <c r="R42" s="154">
        <f>IF((('Local Appropriations-4Yr'!AF36/'Total E&amp;G-4yr'!AF36)*100)=0,(('Local Appropriations-4Yr'!AF36/'Total E&amp;G-4yr'!AF36)*100),IF((('Local Appropriations-4Yr'!AF36/'Total E&amp;G-4yr'!AF36)*100)&gt;=0.005,(('Local Appropriations-4Yr'!AF36/'Total E&amp;G-4yr'!AF36)*100),"*"))</f>
        <v>0</v>
      </c>
      <c r="S42" s="24">
        <f>('Fed Contracts Grnts-4Yr'!AF36/'Total E&amp;G-4yr'!AF36)*100</f>
        <v>25.812036217852757</v>
      </c>
      <c r="T42" s="26">
        <f>('Other Contract Grnts-4Yr'!AF36/'Total E&amp;G-4yr'!AF36)*100</f>
        <v>12.232695799630703</v>
      </c>
      <c r="U42" s="24">
        <f>(('All Other E&amp;G-4Yr'!AF36+'Investment Income-4Yr'!AF36)/('Total E&amp;G-4yr'!AF36))*100</f>
        <v>15.02700362410474</v>
      </c>
      <c r="W42" s="103">
        <f t="shared" si="23"/>
        <v>100</v>
      </c>
      <c r="X42" s="104">
        <f t="shared" si="24"/>
        <v>100</v>
      </c>
      <c r="Y42" s="109">
        <f t="shared" si="1"/>
        <v>11.640704369757053</v>
      </c>
      <c r="Z42" s="110">
        <f t="shared" si="2"/>
        <v>13.576590915825568</v>
      </c>
      <c r="AA42" s="109">
        <f t="shared" si="3"/>
        <v>38.044732017483462</v>
      </c>
      <c r="AB42" s="110">
        <f t="shared" si="4"/>
        <v>34.373690905211241</v>
      </c>
      <c r="AC42" s="13">
        <f t="shared" si="5"/>
        <v>100</v>
      </c>
      <c r="AD42" s="13">
        <f t="shared" si="6"/>
        <v>100</v>
      </c>
      <c r="AE42" s="13"/>
    </row>
    <row r="43" spans="1:31">
      <c r="A43" s="72" t="s">
        <v>50</v>
      </c>
      <c r="B43" s="72"/>
      <c r="C43" s="116">
        <f>('Tuition-4Yr'!AK37/'Total E&amp;G-4yr'!AK37)*100</f>
        <v>23.10862390057714</v>
      </c>
      <c r="D43" s="85">
        <f>('State Appropriations-4Yr'!AK37)/('Total E&amp;G-4yr'!AK37)*100</f>
        <v>39.484999907805211</v>
      </c>
      <c r="E43" s="116">
        <f>IF((('Local Appropriations-4Yr'!AK37/'Total E&amp;G-4yr'!AK37)*100)=0,(('Local Appropriations-4Yr'!AK37/'Total E&amp;G-4yr'!AK37)*100),IF((('Local Appropriations-4Yr'!AK37/'Total E&amp;G-4yr'!AK37)*100)&gt;=0.05,('Local Appropriations-4Yr'!AK37/'Total E&amp;G-4yr'!AK37)*100,"*"))</f>
        <v>0</v>
      </c>
      <c r="F43" s="85">
        <f>('Fed Contracts Grnts-4Yr'!AK37)/('Total E&amp;G-4yr'!AK37)*100</f>
        <v>15.261003448085114</v>
      </c>
      <c r="G43" s="116">
        <f>('Other Contract Grnts-4Yr'!AK37)/('Total E&amp;G-4yr'!AK37)*100</f>
        <v>13.648516585842568</v>
      </c>
      <c r="H43" s="118">
        <f>('All Other E&amp;G-4Yr'!AK37+'Investment Income-4Yr'!AK37)/('Total E&amp;G-4yr'!AK37)*100</f>
        <v>8.496856157689967</v>
      </c>
      <c r="I43" s="85">
        <f t="shared" si="17"/>
        <v>6.7695770787625058</v>
      </c>
      <c r="J43" s="85">
        <f t="shared" si="18"/>
        <v>-6.9068332849626373</v>
      </c>
      <c r="K43" s="79">
        <f t="shared" si="19"/>
        <v>0</v>
      </c>
      <c r="L43" s="85">
        <f t="shared" si="20"/>
        <v>3.3998779768905472</v>
      </c>
      <c r="M43" s="79">
        <f t="shared" si="21"/>
        <v>-1.1137155224315158</v>
      </c>
      <c r="N43" s="85">
        <f t="shared" si="22"/>
        <v>-2.1489062482588874</v>
      </c>
      <c r="O43" s="1"/>
      <c r="P43" s="24">
        <f>('Tuition-4Yr'!AF37/'Total E&amp;G-4yr'!AF37)*100</f>
        <v>16.339046821814634</v>
      </c>
      <c r="Q43" s="25">
        <f>('State Appropriations-4Yr'!AF37/'Total E&amp;G-4yr'!AF37)*100</f>
        <v>46.391833192767848</v>
      </c>
      <c r="R43" s="154">
        <f>IF((('Local Appropriations-4Yr'!AF37/'Total E&amp;G-4yr'!AF37)*100)=0,(('Local Appropriations-4Yr'!AF37/'Total E&amp;G-4yr'!AF37)*100),IF((('Local Appropriations-4Yr'!AF37/'Total E&amp;G-4yr'!AF37)*100)&gt;=0.005,(('Local Appropriations-4Yr'!AF37/'Total E&amp;G-4yr'!AF37)*100),"*"))</f>
        <v>0</v>
      </c>
      <c r="S43" s="24">
        <f>('Fed Contracts Grnts-4Yr'!AF37/'Total E&amp;G-4yr'!AF37)*100</f>
        <v>11.861125471194567</v>
      </c>
      <c r="T43" s="26">
        <f>('Other Contract Grnts-4Yr'!AF37/'Total E&amp;G-4yr'!AF37)*100</f>
        <v>14.762232108274084</v>
      </c>
      <c r="U43" s="24">
        <f>(('All Other E&amp;G-4Yr'!AF37+'Investment Income-4Yr'!AF37)/('Total E&amp;G-4yr'!AF37))*100</f>
        <v>10.645762405948854</v>
      </c>
      <c r="W43" s="103">
        <f t="shared" si="23"/>
        <v>100</v>
      </c>
      <c r="X43" s="104">
        <f t="shared" si="24"/>
        <v>100</v>
      </c>
      <c r="Y43" s="109">
        <f t="shared" si="1"/>
        <v>46.391833192767848</v>
      </c>
      <c r="Z43" s="110">
        <f t="shared" si="2"/>
        <v>39.484999907805211</v>
      </c>
      <c r="AA43" s="109">
        <f t="shared" si="3"/>
        <v>26.623357579468653</v>
      </c>
      <c r="AB43" s="110">
        <f t="shared" si="4"/>
        <v>28.909520033927684</v>
      </c>
      <c r="AC43" s="13">
        <f t="shared" si="5"/>
        <v>100</v>
      </c>
      <c r="AD43" s="13">
        <f t="shared" si="6"/>
        <v>100</v>
      </c>
      <c r="AE43" s="13"/>
    </row>
    <row r="44" spans="1:31">
      <c r="A44" s="70" t="s">
        <v>51</v>
      </c>
      <c r="B44" s="70"/>
      <c r="C44" s="76">
        <f>('Tuition-4Yr'!AK38/'Total E&amp;G-4yr'!AK38)*100</f>
        <v>43.044746900749338</v>
      </c>
      <c r="D44" s="83">
        <f>('State Appropriations-4Yr'!AK38)/('Total E&amp;G-4yr'!AK38)*100</f>
        <v>16.772873953573836</v>
      </c>
      <c r="E44" s="76">
        <f>IF((('Local Appropriations-4Yr'!AK38/'Total E&amp;G-4yr'!AK38)*100)=0,(('Local Appropriations-4Yr'!AK38/'Total E&amp;G-4yr'!AK38)*100),IF((('Local Appropriations-4Yr'!AK38/'Total E&amp;G-4yr'!AK38)*100)&gt;=0.05,('Local Appropriations-4Yr'!AK38/'Total E&amp;G-4yr'!AK38)*100,"*"))</f>
        <v>9.9294407079953476E-2</v>
      </c>
      <c r="F44" s="83">
        <f>('Fed Contracts Grnts-4Yr'!AK38)/('Total E&amp;G-4yr'!AK38)*100</f>
        <v>13.873855047463193</v>
      </c>
      <c r="G44" s="76">
        <f>('Other Contract Grnts-4Yr'!AK38)/('Total E&amp;G-4yr'!AK38)*100</f>
        <v>10.725315373504705</v>
      </c>
      <c r="H44" s="83">
        <f>('All Other E&amp;G-4Yr'!AK38+'Investment Income-4Yr'!AK38)/('Total E&amp;G-4yr'!AK38)*100</f>
        <v>15.483914317628974</v>
      </c>
      <c r="I44" s="83">
        <f>IF((C44-P44)=0,(C44-P44),IF((C44-P44)&gt;=0.005,(C44-P44),IF((C44-P44&lt;=-0.005),(C44-P44),"**")))</f>
        <v>3.7193766448687526</v>
      </c>
      <c r="J44" s="83">
        <f>IF((D44-Q44)=0,(D44-Q44),IF((D44-Q44)&gt;=0.005,(D44-Q44),IF((D44-Q44&lt;=-0.005),(D44-Q44),"**")))</f>
        <v>-2.3439741009754869</v>
      </c>
      <c r="K44" s="149">
        <f>E44-R44</f>
        <v>-2.1137262949969815E-3</v>
      </c>
      <c r="L44" s="83">
        <f>IF((F44-S44)=0,(F44-S44),IF((F44-S44)&gt;=0.005,(F44-S44),IF((F44-S44&lt;=-0.005),(F44-S44),"**")))</f>
        <v>-1.1663883879697963</v>
      </c>
      <c r="M44" s="76">
        <f>IF((G44-T44)=0,(G44-T44),IF((G44-T44)&gt;=0.005,(G44-T44),IF((G44-T44&lt;=-0.005),(G44-T44),"**")))</f>
        <v>0.1089435856802794</v>
      </c>
      <c r="N44" s="83">
        <f>IF((H44-U44)=0,(H44-U44),IF((H44-U44)&gt;=0.005,(H44-U44),IF((H44-U44&lt;=-0.005),(H44-U44),"**")))</f>
        <v>-0.31584401530874473</v>
      </c>
      <c r="O44" s="1"/>
      <c r="P44" s="24">
        <f>('Tuition-4Yr'!AF38/'Total E&amp;G-4yr'!AF38)*100</f>
        <v>39.325370255880586</v>
      </c>
      <c r="Q44" s="25">
        <f>('State Appropriations-4Yr'!AF38/'Total E&amp;G-4yr'!AF38)*100</f>
        <v>19.116848054549322</v>
      </c>
      <c r="R44" s="154">
        <f>IF((('Local Appropriations-4Yr'!AF38/'Total E&amp;G-4yr'!AF38)*100)=0,(('Local Appropriations-4Yr'!AF38/'Total E&amp;G-4yr'!AF38)*100),IF((('Local Appropriations-4Yr'!AF38/'Total E&amp;G-4yr'!AF38)*100)&gt;=0.005,(('Local Appropriations-4Yr'!AF38/'Total E&amp;G-4yr'!AF38)*100),"*"))</f>
        <v>0.10140813337495046</v>
      </c>
      <c r="S44" s="24">
        <f>('Fed Contracts Grnts-4Yr'!AF38/'Total E&amp;G-4yr'!AF38)*100</f>
        <v>15.040243435432989</v>
      </c>
      <c r="T44" s="26">
        <f>('Other Contract Grnts-4Yr'!AF38/'Total E&amp;G-4yr'!AF38)*100</f>
        <v>10.616371787824425</v>
      </c>
      <c r="U44" s="24">
        <f>(('All Other E&amp;G-4Yr'!AF38+'Investment Income-4Yr'!AF38)/('Total E&amp;G-4yr'!AF38))*100</f>
        <v>15.799758332937719</v>
      </c>
      <c r="W44" s="103">
        <f t="shared" si="23"/>
        <v>99.999999999999986</v>
      </c>
      <c r="X44" s="104">
        <f t="shared" si="24"/>
        <v>99.999999999999986</v>
      </c>
      <c r="Y44" s="109">
        <f t="shared" si="1"/>
        <v>19.218256187924272</v>
      </c>
      <c r="Z44" s="110">
        <f t="shared" si="2"/>
        <v>16.872168360653788</v>
      </c>
      <c r="AA44" s="109">
        <f t="shared" si="3"/>
        <v>25.656615223257415</v>
      </c>
      <c r="AB44" s="110">
        <f t="shared" si="4"/>
        <v>24.599170420967898</v>
      </c>
      <c r="AC44" s="13">
        <f t="shared" si="5"/>
        <v>100</v>
      </c>
      <c r="AD44" s="13">
        <f t="shared" si="6"/>
        <v>100</v>
      </c>
      <c r="AE44" s="13"/>
    </row>
    <row r="45" spans="1:31">
      <c r="A45" s="70"/>
      <c r="B45" s="70"/>
      <c r="C45" s="76"/>
      <c r="D45" s="83"/>
      <c r="E45" s="76"/>
      <c r="F45" s="83"/>
      <c r="G45" s="76"/>
      <c r="H45" s="83"/>
      <c r="I45" s="83"/>
      <c r="J45" s="83"/>
      <c r="K45" s="76"/>
      <c r="L45" s="83"/>
      <c r="M45" s="76"/>
      <c r="N45" s="83"/>
      <c r="O45" s="1"/>
      <c r="P45" s="24"/>
      <c r="Q45" s="25"/>
      <c r="R45" s="154"/>
      <c r="S45" s="24"/>
      <c r="T45" s="26"/>
      <c r="U45" s="24"/>
      <c r="W45" s="103"/>
      <c r="X45" s="104"/>
      <c r="Y45" s="109"/>
      <c r="Z45" s="110"/>
      <c r="AA45" s="109"/>
      <c r="AB45" s="110"/>
      <c r="AC45" s="13"/>
      <c r="AD45" s="13"/>
      <c r="AE45" s="13"/>
    </row>
    <row r="46" spans="1:31">
      <c r="A46" s="71" t="s">
        <v>52</v>
      </c>
      <c r="B46" s="71"/>
      <c r="C46" s="77">
        <f>('Tuition-4Yr'!AK40/'Total E&amp;G-4yr'!AK40)*100</f>
        <v>35.368575303455138</v>
      </c>
      <c r="D46" s="84">
        <f>('State Appropriations-4Yr'!AK40)/('Total E&amp;G-4yr'!AK40)*100</f>
        <v>12.554989701828333</v>
      </c>
      <c r="E46" s="77">
        <f>IF((('Local Appropriations-4Yr'!AK40/'Total E&amp;G-4yr'!AK40)*100)=0,(('Local Appropriations-4Yr'!AK40/'Total E&amp;G-4yr'!AK40)*100),IF((('Local Appropriations-4Yr'!AK40/'Total E&amp;G-4yr'!AK40)*100)&gt;=0.05,('Local Appropriations-4Yr'!AK40/'Total E&amp;G-4yr'!AK40)*100,"*"))</f>
        <v>0</v>
      </c>
      <c r="F46" s="84">
        <f>('Fed Contracts Grnts-4Yr'!AK40)/('Total E&amp;G-4yr'!AK40)*100</f>
        <v>13.027363884831802</v>
      </c>
      <c r="G46" s="77">
        <f>('Other Contract Grnts-4Yr'!AK40)/('Total E&amp;G-4yr'!AK40)*100</f>
        <v>8.405467166022655</v>
      </c>
      <c r="H46" s="84">
        <f>('All Other E&amp;G-4Yr'!AK40+'Investment Income-4Yr'!AK40)/('Total E&amp;G-4yr'!AK40)*100</f>
        <v>30.643603943862068</v>
      </c>
      <c r="I46" s="84">
        <f t="shared" ref="I46:N53" si="25">IF((C46-P46)=0,(C46-P46),IF((C46-P46)&gt;=0.005,(C46-P46),IF((C46-P46&lt;=-0.005),(C46-P46),"**")))</f>
        <v>3.2122902524372563</v>
      </c>
      <c r="J46" s="84">
        <f t="shared" si="25"/>
        <v>-5.1226632512560109</v>
      </c>
      <c r="K46" s="77">
        <f t="shared" si="25"/>
        <v>0</v>
      </c>
      <c r="L46" s="84">
        <f t="shared" si="25"/>
        <v>-0.98421268749619983</v>
      </c>
      <c r="M46" s="77">
        <f t="shared" si="25"/>
        <v>-0.38233928426747887</v>
      </c>
      <c r="N46" s="84">
        <f t="shared" si="25"/>
        <v>3.2769249705824279</v>
      </c>
      <c r="O46" s="1"/>
      <c r="P46" s="24">
        <f>('Tuition-4Yr'!AF40/'Total E&amp;G-4yr'!AF40)*100</f>
        <v>32.156285051017882</v>
      </c>
      <c r="Q46" s="25">
        <f>('State Appropriations-4Yr'!AF40/'Total E&amp;G-4yr'!AF40)*100</f>
        <v>17.677652953084344</v>
      </c>
      <c r="R46" s="154">
        <f>IF((('Local Appropriations-4Yr'!AF40/'Total E&amp;G-4yr'!AF40)*100)=0,(('Local Appropriations-4Yr'!AF40/'Total E&amp;G-4yr'!AF40)*100),IF((('Local Appropriations-4Yr'!AF40/'Total E&amp;G-4yr'!AF40)*100)&gt;=0.005,(('Local Appropriations-4Yr'!AF40/'Total E&amp;G-4yr'!AF40)*100),"*"))</f>
        <v>0</v>
      </c>
      <c r="S46" s="24">
        <f>('Fed Contracts Grnts-4Yr'!AF40/'Total E&amp;G-4yr'!AF40)*100</f>
        <v>14.011576572328002</v>
      </c>
      <c r="T46" s="26">
        <f>('Other Contract Grnts-4Yr'!AF40/'Total E&amp;G-4yr'!AF40)*100</f>
        <v>8.7878064502901339</v>
      </c>
      <c r="U46" s="24">
        <f>(('All Other E&amp;G-4Yr'!AF40+'Investment Income-4Yr'!AF40)/('Total E&amp;G-4yr'!AF40))*100</f>
        <v>27.36667897327964</v>
      </c>
      <c r="W46" s="103">
        <f t="shared" ref="W46:W58" si="26">SUM(P46:U46)</f>
        <v>100</v>
      </c>
      <c r="X46" s="104">
        <f t="shared" ref="X46:X58" si="27">SUM(C46:H46)</f>
        <v>100</v>
      </c>
      <c r="Y46" s="109">
        <f t="shared" si="1"/>
        <v>17.677652953084344</v>
      </c>
      <c r="Z46" s="110">
        <f t="shared" si="2"/>
        <v>12.554989701828333</v>
      </c>
      <c r="AA46" s="109">
        <f t="shared" si="3"/>
        <v>22.799383022618137</v>
      </c>
      <c r="AB46" s="110">
        <f t="shared" si="4"/>
        <v>21.432831050854457</v>
      </c>
      <c r="AC46" s="13">
        <f t="shared" si="5"/>
        <v>100</v>
      </c>
      <c r="AD46" s="13">
        <f t="shared" si="6"/>
        <v>100</v>
      </c>
      <c r="AE46" s="13"/>
    </row>
    <row r="47" spans="1:31">
      <c r="A47" s="71" t="s">
        <v>53</v>
      </c>
      <c r="B47" s="71"/>
      <c r="C47" s="77">
        <f>('Tuition-4Yr'!AK41/'Total E&amp;G-4yr'!AK41)*100</f>
        <v>48.677506088741893</v>
      </c>
      <c r="D47" s="84">
        <f>('State Appropriations-4Yr'!AK41)/('Total E&amp;G-4yr'!AK41)*100</f>
        <v>16.981979110788036</v>
      </c>
      <c r="E47" s="77">
        <f>IF((('Local Appropriations-4Yr'!AK41/'Total E&amp;G-4yr'!AK41)*100)=0,(('Local Appropriations-4Yr'!AK41/'Total E&amp;G-4yr'!AK41)*100),IF((('Local Appropriations-4Yr'!AK41/'Total E&amp;G-4yr'!AK41)*100)&gt;=0.05,('Local Appropriations-4Yr'!AK41/'Total E&amp;G-4yr'!AK41)*100,"*"))</f>
        <v>0.12121868324063133</v>
      </c>
      <c r="F47" s="84">
        <f>('Fed Contracts Grnts-4Yr'!AK41)/('Total E&amp;G-4yr'!AK41)*100</f>
        <v>12.609761480549931</v>
      </c>
      <c r="G47" s="77">
        <f>('Other Contract Grnts-4Yr'!AK41)/('Total E&amp;G-4yr'!AK41)*100</f>
        <v>8.6429656930650172</v>
      </c>
      <c r="H47" s="84">
        <f>('All Other E&amp;G-4Yr'!AK41+'Investment Income-4Yr'!AK41)/('Total E&amp;G-4yr'!AK41)*100</f>
        <v>12.966568943614485</v>
      </c>
      <c r="I47" s="84">
        <f t="shared" si="25"/>
        <v>4.1598792374702214</v>
      </c>
      <c r="J47" s="84">
        <f t="shared" si="25"/>
        <v>-3.6179348250912149</v>
      </c>
      <c r="K47" s="150">
        <f t="shared" si="25"/>
        <v>-1.5106532131879749E-2</v>
      </c>
      <c r="L47" s="84">
        <f t="shared" si="25"/>
        <v>-0.86108767998936919</v>
      </c>
      <c r="M47" s="77">
        <f t="shared" si="25"/>
        <v>-0.61930111615687977</v>
      </c>
      <c r="N47" s="84">
        <f t="shared" si="25"/>
        <v>0.95355091589911289</v>
      </c>
      <c r="O47" s="1"/>
      <c r="P47" s="24">
        <f>('Tuition-4Yr'!AF41/'Total E&amp;G-4yr'!AF41)*100</f>
        <v>44.517626851271672</v>
      </c>
      <c r="Q47" s="25">
        <f>('State Appropriations-4Yr'!AF41/'Total E&amp;G-4yr'!AF41)*100</f>
        <v>20.59991393587925</v>
      </c>
      <c r="R47" s="154">
        <f>IF((('Local Appropriations-4Yr'!AF41/'Total E&amp;G-4yr'!AF41)*100)=0,(('Local Appropriations-4Yr'!AF41/'Total E&amp;G-4yr'!AF41)*100),IF((('Local Appropriations-4Yr'!AF41/'Total E&amp;G-4yr'!AF41)*100)&gt;=0.005,(('Local Appropriations-4Yr'!AF41/'Total E&amp;G-4yr'!AF41)*100),"*"))</f>
        <v>0.13632521537251108</v>
      </c>
      <c r="S47" s="24">
        <f>('Fed Contracts Grnts-4Yr'!AF41/'Total E&amp;G-4yr'!AF41)*100</f>
        <v>13.4708491605393</v>
      </c>
      <c r="T47" s="26">
        <f>('Other Contract Grnts-4Yr'!AF41/'Total E&amp;G-4yr'!AF41)*100</f>
        <v>9.2622668092218969</v>
      </c>
      <c r="U47" s="24">
        <f>(('All Other E&amp;G-4Yr'!AF41+'Investment Income-4Yr'!AF41)/('Total E&amp;G-4yr'!AF41))*100</f>
        <v>12.013018027715372</v>
      </c>
      <c r="W47" s="103">
        <f t="shared" si="26"/>
        <v>100</v>
      </c>
      <c r="X47" s="104">
        <f t="shared" si="27"/>
        <v>100</v>
      </c>
      <c r="Y47" s="109">
        <f t="shared" si="1"/>
        <v>20.736239151251763</v>
      </c>
      <c r="Z47" s="110">
        <f t="shared" si="2"/>
        <v>17.103197794028667</v>
      </c>
      <c r="AA47" s="109">
        <f t="shared" si="3"/>
        <v>22.733115969761197</v>
      </c>
      <c r="AB47" s="110">
        <f t="shared" si="4"/>
        <v>21.25272717361495</v>
      </c>
      <c r="AC47" s="13">
        <f t="shared" si="5"/>
        <v>100</v>
      </c>
      <c r="AD47" s="13">
        <f t="shared" si="6"/>
        <v>100</v>
      </c>
      <c r="AE47" s="13"/>
    </row>
    <row r="48" spans="1:31">
      <c r="A48" s="71" t="s">
        <v>54</v>
      </c>
      <c r="B48" s="71"/>
      <c r="C48" s="77">
        <f>('Tuition-4Yr'!AK42/'Total E&amp;G-4yr'!AK42)*100</f>
        <v>41.231218367437236</v>
      </c>
      <c r="D48" s="84">
        <f>('State Appropriations-4Yr'!AK42)/('Total E&amp;G-4yr'!AK42)*100</f>
        <v>18.652580199142914</v>
      </c>
      <c r="E48" s="77">
        <f>IF((('Local Appropriations-4Yr'!AK42/'Total E&amp;G-4yr'!AK42)*100)=0,(('Local Appropriations-4Yr'!AK42/'Total E&amp;G-4yr'!AK42)*100),IF((('Local Appropriations-4Yr'!AK42/'Total E&amp;G-4yr'!AK42)*100)&gt;=0.05,('Local Appropriations-4Yr'!AK42/'Total E&amp;G-4yr'!AK42)*100,"*"))</f>
        <v>0</v>
      </c>
      <c r="F48" s="84">
        <f>('Fed Contracts Grnts-4Yr'!AK42)/('Total E&amp;G-4yr'!AK42)*100</f>
        <v>16.9979915900287</v>
      </c>
      <c r="G48" s="77">
        <f>('Other Contract Grnts-4Yr'!AK42)/('Total E&amp;G-4yr'!AK42)*100</f>
        <v>9.4390889291502251</v>
      </c>
      <c r="H48" s="84">
        <f>('All Other E&amp;G-4Yr'!AK42+'Investment Income-4Yr'!AK42)/('Total E&amp;G-4yr'!AK42)*100</f>
        <v>13.679120914240933</v>
      </c>
      <c r="I48" s="84">
        <f t="shared" si="25"/>
        <v>5.3681317739883383</v>
      </c>
      <c r="J48" s="84">
        <f t="shared" si="25"/>
        <v>-2.7972135043336444</v>
      </c>
      <c r="K48" s="77">
        <f t="shared" si="25"/>
        <v>0</v>
      </c>
      <c r="L48" s="84">
        <f t="shared" si="25"/>
        <v>-1.2752317065187704</v>
      </c>
      <c r="M48" s="77">
        <f t="shared" si="25"/>
        <v>-0.12608707307957978</v>
      </c>
      <c r="N48" s="84">
        <f t="shared" si="25"/>
        <v>-1.1695994900563225</v>
      </c>
      <c r="O48" s="1"/>
      <c r="P48" s="24">
        <f>('Tuition-4Yr'!AF42/'Total E&amp;G-4yr'!AF42)*100</f>
        <v>35.863086593448898</v>
      </c>
      <c r="Q48" s="25">
        <f>('State Appropriations-4Yr'!AF42/'Total E&amp;G-4yr'!AF42)*100</f>
        <v>21.449793703476558</v>
      </c>
      <c r="R48" s="154">
        <f>IF((('Local Appropriations-4Yr'!AF42/'Total E&amp;G-4yr'!AF42)*100)=0,(('Local Appropriations-4Yr'!AF42/'Total E&amp;G-4yr'!AF42)*100),IF((('Local Appropriations-4Yr'!AF42/'Total E&amp;G-4yr'!AF42)*100)&gt;=0.005,(('Local Appropriations-4Yr'!AF42/'Total E&amp;G-4yr'!AF42)*100),"*"))</f>
        <v>0</v>
      </c>
      <c r="S48" s="24">
        <f>('Fed Contracts Grnts-4Yr'!AF42/'Total E&amp;G-4yr'!AF42)*100</f>
        <v>18.273223296547471</v>
      </c>
      <c r="T48" s="26">
        <f>('Other Contract Grnts-4Yr'!AF42/'Total E&amp;G-4yr'!AF42)*100</f>
        <v>9.5651760022298049</v>
      </c>
      <c r="U48" s="24">
        <f>(('All Other E&amp;G-4Yr'!AF42+'Investment Income-4Yr'!AF42)/('Total E&amp;G-4yr'!AF42))*100</f>
        <v>14.848720404297255</v>
      </c>
      <c r="W48" s="103">
        <f t="shared" si="26"/>
        <v>99.999999999999986</v>
      </c>
      <c r="X48" s="104">
        <f t="shared" si="27"/>
        <v>100.00000000000003</v>
      </c>
      <c r="Y48" s="109">
        <f t="shared" si="1"/>
        <v>21.449793703476558</v>
      </c>
      <c r="Z48" s="110">
        <f t="shared" si="2"/>
        <v>18.652580199142914</v>
      </c>
      <c r="AA48" s="109">
        <f t="shared" si="3"/>
        <v>27.838399298777276</v>
      </c>
      <c r="AB48" s="110">
        <f t="shared" si="4"/>
        <v>26.437080519178927</v>
      </c>
      <c r="AC48" s="13">
        <f t="shared" si="5"/>
        <v>99.999999999999986</v>
      </c>
      <c r="AD48" s="13">
        <f t="shared" si="6"/>
        <v>100</v>
      </c>
      <c r="AE48" s="13"/>
    </row>
    <row r="49" spans="1:31">
      <c r="A49" s="71" t="s">
        <v>55</v>
      </c>
      <c r="B49" s="71"/>
      <c r="C49" s="77">
        <f>('Tuition-4Yr'!AK43/'Total E&amp;G-4yr'!AK43)*100</f>
        <v>37.694248218737933</v>
      </c>
      <c r="D49" s="84">
        <f>('State Appropriations-4Yr'!AK43)/('Total E&amp;G-4yr'!AK43)*100</f>
        <v>20.922295829739461</v>
      </c>
      <c r="E49" s="77">
        <f>IF((('Local Appropriations-4Yr'!AK43/'Total E&amp;G-4yr'!AK43)*100)=0,(('Local Appropriations-4Yr'!AK43/'Total E&amp;G-4yr'!AK43)*100),IF((('Local Appropriations-4Yr'!AK43/'Total E&amp;G-4yr'!AK43)*100)&gt;=0.05,('Local Appropriations-4Yr'!AK43/'Total E&amp;G-4yr'!AK43)*100,"*"))</f>
        <v>1.5384012296266911</v>
      </c>
      <c r="F49" s="84">
        <f>('Fed Contracts Grnts-4Yr'!AK43)/('Total E&amp;G-4yr'!AK43)*100</f>
        <v>15.894988733961663</v>
      </c>
      <c r="G49" s="77">
        <f>('Other Contract Grnts-4Yr'!AK43)/('Total E&amp;G-4yr'!AK43)*100</f>
        <v>9.7054801615163466</v>
      </c>
      <c r="H49" s="84">
        <f>('All Other E&amp;G-4Yr'!AK43+'Investment Income-4Yr'!AK43)/('Total E&amp;G-4yr'!AK43)*100</f>
        <v>14.244585826417907</v>
      </c>
      <c r="I49" s="84">
        <f t="shared" si="25"/>
        <v>1.3972008778209286</v>
      </c>
      <c r="J49" s="84">
        <f t="shared" si="25"/>
        <v>-4.6661937679259751</v>
      </c>
      <c r="K49" s="77">
        <f t="shared" si="25"/>
        <v>-0.23784433542644878</v>
      </c>
      <c r="L49" s="84">
        <f t="shared" si="25"/>
        <v>-1.8048539386699769</v>
      </c>
      <c r="M49" s="77">
        <f t="shared" si="25"/>
        <v>-3.0597615523827706</v>
      </c>
      <c r="N49" s="84">
        <f t="shared" si="25"/>
        <v>8.371452716584237</v>
      </c>
      <c r="O49" s="1"/>
      <c r="P49" s="24">
        <f>('Tuition-4Yr'!AF43/'Total E&amp;G-4yr'!AF43)*100</f>
        <v>36.297047340917004</v>
      </c>
      <c r="Q49" s="25">
        <f>('State Appropriations-4Yr'!AF43/'Total E&amp;G-4yr'!AF43)*100</f>
        <v>25.588489597665436</v>
      </c>
      <c r="R49" s="154">
        <f>IF((('Local Appropriations-4Yr'!AF43/'Total E&amp;G-4yr'!AF43)*100)=0,(('Local Appropriations-4Yr'!AF43/'Total E&amp;G-4yr'!AF43)*100),IF((('Local Appropriations-4Yr'!AF43/'Total E&amp;G-4yr'!AF43)*100)&gt;=0.005,(('Local Appropriations-4Yr'!AF43/'Total E&amp;G-4yr'!AF43)*100),"*"))</f>
        <v>1.7762455650531399</v>
      </c>
      <c r="S49" s="24">
        <f>('Fed Contracts Grnts-4Yr'!AF43/'Total E&amp;G-4yr'!AF43)*100</f>
        <v>17.69984267263164</v>
      </c>
      <c r="T49" s="26">
        <f>('Other Contract Grnts-4Yr'!AF43/'Total E&amp;G-4yr'!AF43)*100</f>
        <v>12.765241713899117</v>
      </c>
      <c r="U49" s="24">
        <f>(('All Other E&amp;G-4Yr'!AF43+'Investment Income-4Yr'!AF43)/('Total E&amp;G-4yr'!AF43))*100</f>
        <v>5.8731331098336694</v>
      </c>
      <c r="W49" s="103">
        <f t="shared" si="26"/>
        <v>100</v>
      </c>
      <c r="X49" s="104">
        <f t="shared" si="27"/>
        <v>100</v>
      </c>
      <c r="Y49" s="109">
        <f t="shared" si="1"/>
        <v>27.364735162718578</v>
      </c>
      <c r="Z49" s="110">
        <f t="shared" si="2"/>
        <v>22.460697059366151</v>
      </c>
      <c r="AA49" s="109">
        <f t="shared" si="3"/>
        <v>30.465084386530755</v>
      </c>
      <c r="AB49" s="110">
        <f t="shared" si="4"/>
        <v>25.600468895478009</v>
      </c>
      <c r="AC49" s="13">
        <f t="shared" si="5"/>
        <v>100</v>
      </c>
      <c r="AD49" s="13">
        <f t="shared" si="6"/>
        <v>100</v>
      </c>
      <c r="AE49" s="13"/>
    </row>
    <row r="50" spans="1:31">
      <c r="A50" s="70" t="s">
        <v>56</v>
      </c>
      <c r="B50" s="70"/>
      <c r="C50" s="76">
        <f>('Tuition-4Yr'!AK44/'Total E&amp;G-4yr'!AK44)*100</f>
        <v>47.647136263793541</v>
      </c>
      <c r="D50" s="83">
        <f>('State Appropriations-4Yr'!AK44)/('Total E&amp;G-4yr'!AK44)*100</f>
        <v>12.315670247521053</v>
      </c>
      <c r="E50" s="76">
        <f>IF((('Local Appropriations-4Yr'!AK44/'Total E&amp;G-4yr'!AK44)*100)=0,(('Local Appropriations-4Yr'!AK44/'Total E&amp;G-4yr'!AK44)*100),IF((('Local Appropriations-4Yr'!AK44/'Total E&amp;G-4yr'!AK44)*100)&gt;=0.05,('Local Appropriations-4Yr'!AK44/'Total E&amp;G-4yr'!AK44)*100,"*"))</f>
        <v>0</v>
      </c>
      <c r="F50" s="83">
        <f>('Fed Contracts Grnts-4Yr'!AK44)/('Total E&amp;G-4yr'!AK44)*100</f>
        <v>16.155803496548256</v>
      </c>
      <c r="G50" s="76">
        <f>('Other Contract Grnts-4Yr'!AK44)/('Total E&amp;G-4yr'!AK44)*100</f>
        <v>7.7410637876728039</v>
      </c>
      <c r="H50" s="83">
        <f>('All Other E&amp;G-4Yr'!AK44+'Investment Income-4Yr'!AK44)/('Total E&amp;G-4yr'!AK44)*100</f>
        <v>16.140326204464348</v>
      </c>
      <c r="I50" s="83">
        <f t="shared" si="25"/>
        <v>5.9303433617004728</v>
      </c>
      <c r="J50" s="151">
        <f t="shared" si="25"/>
        <v>2.2800318359275096E-2</v>
      </c>
      <c r="K50" s="76">
        <f t="shared" si="25"/>
        <v>0</v>
      </c>
      <c r="L50" s="151">
        <f t="shared" si="25"/>
        <v>-3.7186349672165164E-2</v>
      </c>
      <c r="M50" s="76">
        <f t="shared" si="25"/>
        <v>0.2901910020913272</v>
      </c>
      <c r="N50" s="83">
        <f t="shared" si="25"/>
        <v>-6.2061483324789073</v>
      </c>
      <c r="O50" s="1"/>
      <c r="P50" s="24">
        <f>('Tuition-4Yr'!AF44/'Total E&amp;G-4yr'!AF44)*100</f>
        <v>41.716792902093069</v>
      </c>
      <c r="Q50" s="25">
        <f>('State Appropriations-4Yr'!AF44/'Total E&amp;G-4yr'!AF44)*100</f>
        <v>12.292869929161778</v>
      </c>
      <c r="R50" s="154">
        <f>IF((('Local Appropriations-4Yr'!AF44/'Total E&amp;G-4yr'!AF44)*100)=0,(('Local Appropriations-4Yr'!AF44/'Total E&amp;G-4yr'!AF44)*100),IF((('Local Appropriations-4Yr'!AF44/'Total E&amp;G-4yr'!AF44)*100)&gt;=0.005,(('Local Appropriations-4Yr'!AF44/'Total E&amp;G-4yr'!AF44)*100),"*"))</f>
        <v>0</v>
      </c>
      <c r="S50" s="24">
        <f>('Fed Contracts Grnts-4Yr'!AF44/'Total E&amp;G-4yr'!AF44)*100</f>
        <v>16.192989846220421</v>
      </c>
      <c r="T50" s="26">
        <f>('Other Contract Grnts-4Yr'!AF44/'Total E&amp;G-4yr'!AF44)*100</f>
        <v>7.4508727855814767</v>
      </c>
      <c r="U50" s="24">
        <f>(('All Other E&amp;G-4Yr'!AF44+'Investment Income-4Yr'!AF44)/('Total E&amp;G-4yr'!AF44))*100</f>
        <v>22.346474536943255</v>
      </c>
      <c r="W50" s="103">
        <f t="shared" si="26"/>
        <v>100</v>
      </c>
      <c r="X50" s="104">
        <f t="shared" si="27"/>
        <v>100</v>
      </c>
      <c r="Y50" s="109">
        <f t="shared" si="1"/>
        <v>12.292869929161778</v>
      </c>
      <c r="Z50" s="110">
        <f t="shared" si="2"/>
        <v>12.315670247521053</v>
      </c>
      <c r="AA50" s="109">
        <f t="shared" si="3"/>
        <v>23.643862631801898</v>
      </c>
      <c r="AB50" s="110">
        <f t="shared" si="4"/>
        <v>23.896867284221059</v>
      </c>
      <c r="AC50" s="13">
        <f t="shared" si="5"/>
        <v>100</v>
      </c>
      <c r="AD50" s="13">
        <f t="shared" si="6"/>
        <v>100</v>
      </c>
      <c r="AE50" s="13"/>
    </row>
    <row r="51" spans="1:31">
      <c r="A51" s="70" t="s">
        <v>57</v>
      </c>
      <c r="B51" s="70"/>
      <c r="C51" s="76">
        <f>('Tuition-4Yr'!AK45/'Total E&amp;G-4yr'!AK45)*100</f>
        <v>34.968639311767433</v>
      </c>
      <c r="D51" s="83">
        <f>('State Appropriations-4Yr'!AK45)/('Total E&amp;G-4yr'!AK45)*100</f>
        <v>20.237450940244351</v>
      </c>
      <c r="E51" s="76">
        <f>IF((('Local Appropriations-4Yr'!AK45/'Total E&amp;G-4yr'!AK45)*100)=0,(('Local Appropriations-4Yr'!AK45/'Total E&amp;G-4yr'!AK45)*100),IF((('Local Appropriations-4Yr'!AK45/'Total E&amp;G-4yr'!AK45)*100)&gt;=0.05,('Local Appropriations-4Yr'!AK45/'Total E&amp;G-4yr'!AK45)*100,"*"))</f>
        <v>0</v>
      </c>
      <c r="F51" s="83">
        <f>('Fed Contracts Grnts-4Yr'!AK45)/('Total E&amp;G-4yr'!AK45)*100</f>
        <v>13.321519597922245</v>
      </c>
      <c r="G51" s="76">
        <f>('Other Contract Grnts-4Yr'!AK45)/('Total E&amp;G-4yr'!AK45)*100</f>
        <v>20.431326781773652</v>
      </c>
      <c r="H51" s="83">
        <f>('All Other E&amp;G-4Yr'!AK45+'Investment Income-4Yr'!AK45)/('Total E&amp;G-4yr'!AK45)*100</f>
        <v>11.041063368292306</v>
      </c>
      <c r="I51" s="83">
        <f t="shared" si="25"/>
        <v>-0.23998433447499679</v>
      </c>
      <c r="J51" s="83">
        <f t="shared" si="25"/>
        <v>-1.194152386913661</v>
      </c>
      <c r="K51" s="76">
        <f t="shared" si="25"/>
        <v>0</v>
      </c>
      <c r="L51" s="83">
        <f t="shared" si="25"/>
        <v>-2.4403763115101089</v>
      </c>
      <c r="M51" s="76">
        <f t="shared" si="25"/>
        <v>1.2202633622889252</v>
      </c>
      <c r="N51" s="83">
        <f t="shared" si="25"/>
        <v>2.6542496706098273</v>
      </c>
      <c r="O51" s="1"/>
      <c r="P51" s="24">
        <f>('Tuition-4Yr'!AF45/'Total E&amp;G-4yr'!AF45)*100</f>
        <v>35.20862364624243</v>
      </c>
      <c r="Q51" s="25">
        <f>('State Appropriations-4Yr'!AF45/'Total E&amp;G-4yr'!AF45)*100</f>
        <v>21.431603327158012</v>
      </c>
      <c r="R51" s="154">
        <f>IF((('Local Appropriations-4Yr'!AF45/'Total E&amp;G-4yr'!AF45)*100)=0,(('Local Appropriations-4Yr'!AF45/'Total E&amp;G-4yr'!AF45)*100),IF((('Local Appropriations-4Yr'!AF45/'Total E&amp;G-4yr'!AF45)*100)&gt;=0.005,(('Local Appropriations-4Yr'!AF45/'Total E&amp;G-4yr'!AF45)*100),"*"))</f>
        <v>0</v>
      </c>
      <c r="S51" s="24">
        <f>('Fed Contracts Grnts-4Yr'!AF45/'Total E&amp;G-4yr'!AF45)*100</f>
        <v>15.761895909432354</v>
      </c>
      <c r="T51" s="26">
        <f>('Other Contract Grnts-4Yr'!AF45/'Total E&amp;G-4yr'!AF45)*100</f>
        <v>19.211063419484727</v>
      </c>
      <c r="U51" s="24">
        <f>(('All Other E&amp;G-4Yr'!AF45+'Investment Income-4Yr'!AF45)/('Total E&amp;G-4yr'!AF45))*100</f>
        <v>8.386813697682479</v>
      </c>
      <c r="W51" s="103">
        <f t="shared" si="26"/>
        <v>100.00000000000001</v>
      </c>
      <c r="X51" s="104">
        <f t="shared" si="27"/>
        <v>99.999999999999972</v>
      </c>
      <c r="Y51" s="109">
        <f t="shared" si="1"/>
        <v>21.431603327158012</v>
      </c>
      <c r="Z51" s="110">
        <f t="shared" si="2"/>
        <v>20.237450940244351</v>
      </c>
      <c r="AA51" s="109">
        <f t="shared" si="3"/>
        <v>34.972959328917085</v>
      </c>
      <c r="AB51" s="110">
        <f t="shared" si="4"/>
        <v>33.752846379695896</v>
      </c>
      <c r="AC51" s="13">
        <f t="shared" si="5"/>
        <v>100.00000000000001</v>
      </c>
      <c r="AD51" s="13">
        <f t="shared" si="6"/>
        <v>99.999999999999986</v>
      </c>
      <c r="AE51" s="13"/>
    </row>
    <row r="52" spans="1:31">
      <c r="A52" s="70" t="s">
        <v>58</v>
      </c>
      <c r="B52" s="70"/>
      <c r="C52" s="76">
        <f>('Tuition-4Yr'!AK46/'Total E&amp;G-4yr'!AK46)*100</f>
        <v>49.047949578901608</v>
      </c>
      <c r="D52" s="83">
        <f>('State Appropriations-4Yr'!AK46)/('Total E&amp;G-4yr'!AK46)*100</f>
        <v>21.591192564399396</v>
      </c>
      <c r="E52" s="76">
        <f>IF((('Local Appropriations-4Yr'!AK46/'Total E&amp;G-4yr'!AK46)*100)=0,(('Local Appropriations-4Yr'!AK46/'Total E&amp;G-4yr'!AK46)*100),IF((('Local Appropriations-4Yr'!AK46/'Total E&amp;G-4yr'!AK46)*100)&gt;=0.05,('Local Appropriations-4Yr'!AK46/'Total E&amp;G-4yr'!AK46)*100,"*"))</f>
        <v>0</v>
      </c>
      <c r="F52" s="83">
        <f>('Fed Contracts Grnts-4Yr'!AK46)/('Total E&amp;G-4yr'!AK46)*100</f>
        <v>11.198070710907784</v>
      </c>
      <c r="G52" s="76">
        <f>('Other Contract Grnts-4Yr'!AK46)/('Total E&amp;G-4yr'!AK46)*100</f>
        <v>9.0389425536133015</v>
      </c>
      <c r="H52" s="83">
        <f>('All Other E&amp;G-4Yr'!AK46+'Investment Income-4Yr'!AK46)/('Total E&amp;G-4yr'!AK46)*100</f>
        <v>9.1238445921779228</v>
      </c>
      <c r="I52" s="83">
        <f t="shared" si="25"/>
        <v>3.8456199698402145</v>
      </c>
      <c r="J52" s="83">
        <f t="shared" si="25"/>
        <v>-2.0537106994940011</v>
      </c>
      <c r="K52" s="76">
        <f t="shared" si="25"/>
        <v>0</v>
      </c>
      <c r="L52" s="83">
        <f t="shared" si="25"/>
        <v>-1.3302627517621737</v>
      </c>
      <c r="M52" s="76">
        <f t="shared" si="25"/>
        <v>0.81995525657183244</v>
      </c>
      <c r="N52" s="83">
        <f t="shared" si="25"/>
        <v>-1.2816017751558686</v>
      </c>
      <c r="O52" s="1"/>
      <c r="P52" s="24">
        <f>('Tuition-4Yr'!AF46/'Total E&amp;G-4yr'!AF46)*100</f>
        <v>45.202329609061394</v>
      </c>
      <c r="Q52" s="25">
        <f>('State Appropriations-4Yr'!AF46/'Total E&amp;G-4yr'!AF46)*100</f>
        <v>23.644903263893397</v>
      </c>
      <c r="R52" s="154">
        <f>IF((('Local Appropriations-4Yr'!AF46/'Total E&amp;G-4yr'!AF46)*100)=0,(('Local Appropriations-4Yr'!AF46/'Total E&amp;G-4yr'!AF46)*100),IF((('Local Appropriations-4Yr'!AF46/'Total E&amp;G-4yr'!AF46)*100)&gt;=0.005,(('Local Appropriations-4Yr'!AF46/'Total E&amp;G-4yr'!AF46)*100),"*"))</f>
        <v>0</v>
      </c>
      <c r="S52" s="24">
        <f>('Fed Contracts Grnts-4Yr'!AF46/'Total E&amp;G-4yr'!AF46)*100</f>
        <v>12.528333462669957</v>
      </c>
      <c r="T52" s="26">
        <f>('Other Contract Grnts-4Yr'!AF46/'Total E&amp;G-4yr'!AF46)*100</f>
        <v>8.218987297041469</v>
      </c>
      <c r="U52" s="24">
        <f>(('All Other E&amp;G-4Yr'!AF46+'Investment Income-4Yr'!AF46)/('Total E&amp;G-4yr'!AF46))*100</f>
        <v>10.405446367333791</v>
      </c>
      <c r="W52" s="103">
        <f t="shared" si="26"/>
        <v>100.00000000000001</v>
      </c>
      <c r="X52" s="104">
        <f t="shared" si="27"/>
        <v>100</v>
      </c>
      <c r="Y52" s="109">
        <f t="shared" si="1"/>
        <v>23.644903263893397</v>
      </c>
      <c r="Z52" s="110">
        <f t="shared" si="2"/>
        <v>21.591192564399396</v>
      </c>
      <c r="AA52" s="109">
        <f t="shared" si="3"/>
        <v>20.747320759711428</v>
      </c>
      <c r="AB52" s="110">
        <f t="shared" si="4"/>
        <v>20.237013264521085</v>
      </c>
      <c r="AC52" s="13">
        <f t="shared" si="5"/>
        <v>100.00000000000001</v>
      </c>
      <c r="AD52" s="13">
        <f t="shared" si="6"/>
        <v>100.00000000000001</v>
      </c>
      <c r="AE52" s="13"/>
    </row>
    <row r="53" spans="1:31">
      <c r="A53" s="70" t="s">
        <v>59</v>
      </c>
      <c r="B53" s="70"/>
      <c r="C53" s="76">
        <f>('Tuition-4Yr'!AK47/'Total E&amp;G-4yr'!AK47)*100</f>
        <v>31.523373888506871</v>
      </c>
      <c r="D53" s="83">
        <f>('State Appropriations-4Yr'!AK47)/('Total E&amp;G-4yr'!AK47)*100</f>
        <v>26.422438398513947</v>
      </c>
      <c r="E53" s="76">
        <f>IF((('Local Appropriations-4Yr'!AK47/'Total E&amp;G-4yr'!AK47)*100)=0,(('Local Appropriations-4Yr'!AK47/'Total E&amp;G-4yr'!AK47)*100),IF((('Local Appropriations-4Yr'!AK47/'Total E&amp;G-4yr'!AK47)*100)&gt;=0.05,('Local Appropriations-4Yr'!AK47/'Total E&amp;G-4yr'!AK47)*100,"*"))</f>
        <v>0</v>
      </c>
      <c r="F53" s="83">
        <f>('Fed Contracts Grnts-4Yr'!AK47)/('Total E&amp;G-4yr'!AK47)*100</f>
        <v>15.62052674639437</v>
      </c>
      <c r="G53" s="76">
        <f>('Other Contract Grnts-4Yr'!AK47)/('Total E&amp;G-4yr'!AK47)*100</f>
        <v>16.739087031716011</v>
      </c>
      <c r="H53" s="83">
        <f>('All Other E&amp;G-4Yr'!AK47+'Investment Income-4Yr'!AK47)/('Total E&amp;G-4yr'!AK47)*100</f>
        <v>9.6945739348688029</v>
      </c>
      <c r="I53" s="83">
        <f t="shared" si="25"/>
        <v>3.1431028880568057</v>
      </c>
      <c r="J53" s="83">
        <f t="shared" si="25"/>
        <v>-6.058900765831666</v>
      </c>
      <c r="K53" s="76">
        <f t="shared" si="25"/>
        <v>0</v>
      </c>
      <c r="L53" s="83">
        <f t="shared" si="25"/>
        <v>0.50415382407832432</v>
      </c>
      <c r="M53" s="76">
        <f t="shared" si="25"/>
        <v>-1.0614391710840749</v>
      </c>
      <c r="N53" s="83">
        <f t="shared" si="25"/>
        <v>3.4730832247806056</v>
      </c>
      <c r="O53" s="1"/>
      <c r="P53" s="24">
        <f>('Tuition-4Yr'!AF47/'Total E&amp;G-4yr'!AF47)*100</f>
        <v>28.380271000450065</v>
      </c>
      <c r="Q53" s="25">
        <f>('State Appropriations-4Yr'!AF47/'Total E&amp;G-4yr'!AF47)*100</f>
        <v>32.481339164345613</v>
      </c>
      <c r="R53" s="154">
        <f>IF((('Local Appropriations-4Yr'!AF47/'Total E&amp;G-4yr'!AF47)*100)=0,(('Local Appropriations-4Yr'!AF47/'Total E&amp;G-4yr'!AF47)*100),IF((('Local Appropriations-4Yr'!AF47/'Total E&amp;G-4yr'!AF47)*100)&gt;=0.005,(('Local Appropriations-4Yr'!AF47/'Total E&amp;G-4yr'!AF47)*100),"*"))</f>
        <v>0</v>
      </c>
      <c r="S53" s="24">
        <f>('Fed Contracts Grnts-4Yr'!AF47/'Total E&amp;G-4yr'!AF47)*100</f>
        <v>15.116372922316046</v>
      </c>
      <c r="T53" s="26">
        <f>('Other Contract Grnts-4Yr'!AF47/'Total E&amp;G-4yr'!AF47)*100</f>
        <v>17.800526202800086</v>
      </c>
      <c r="U53" s="24">
        <f>(('All Other E&amp;G-4Yr'!AF47+'Investment Income-4Yr'!AF47)/('Total E&amp;G-4yr'!AF47))*100</f>
        <v>6.2214907100881973</v>
      </c>
      <c r="W53" s="103">
        <f t="shared" si="26"/>
        <v>100</v>
      </c>
      <c r="X53" s="104">
        <f t="shared" si="27"/>
        <v>100</v>
      </c>
      <c r="Y53" s="109">
        <f t="shared" si="1"/>
        <v>32.481339164345613</v>
      </c>
      <c r="Z53" s="110">
        <f t="shared" si="2"/>
        <v>26.422438398513947</v>
      </c>
      <c r="AA53" s="109">
        <f t="shared" si="3"/>
        <v>32.916899125116132</v>
      </c>
      <c r="AB53" s="110">
        <f t="shared" si="4"/>
        <v>32.359613778110379</v>
      </c>
      <c r="AC53" s="13">
        <f t="shared" si="5"/>
        <v>100.00000000000001</v>
      </c>
      <c r="AD53" s="13">
        <f t="shared" si="6"/>
        <v>100</v>
      </c>
      <c r="AE53" s="13"/>
    </row>
    <row r="54" spans="1:31">
      <c r="A54" s="71" t="s">
        <v>60</v>
      </c>
      <c r="B54" s="71"/>
      <c r="C54" s="77">
        <f>('Tuition-4Yr'!AK48/'Total E&amp;G-4yr'!AK48)*100</f>
        <v>38.063515702052165</v>
      </c>
      <c r="D54" s="84">
        <f>('State Appropriations-4Yr'!AK48)/('Total E&amp;G-4yr'!AK48)*100</f>
        <v>26.427315206898257</v>
      </c>
      <c r="E54" s="77">
        <f>IF((('Local Appropriations-4Yr'!AK48/'Total E&amp;G-4yr'!AK48)*100)=0,(('Local Appropriations-4Yr'!AK48/'Total E&amp;G-4yr'!AK48)*100),IF((('Local Appropriations-4Yr'!AK48/'Total E&amp;G-4yr'!AK48)*100)&gt;=0.05,('Local Appropriations-4Yr'!AK48/'Total E&amp;G-4yr'!AK48)*100,"*"))</f>
        <v>0.57459849480813019</v>
      </c>
      <c r="F54" s="84">
        <f>('Fed Contracts Grnts-4Yr'!AK48)/('Total E&amp;G-4yr'!AK48)*100</f>
        <v>14.507378860222989</v>
      </c>
      <c r="G54" s="77">
        <f>('Other Contract Grnts-4Yr'!AK48)/('Total E&amp;G-4yr'!AK48)*100</f>
        <v>9.3852359693990568</v>
      </c>
      <c r="H54" s="84">
        <f>('All Other E&amp;G-4Yr'!AK48+'Investment Income-4Yr'!AK48)/('Total E&amp;G-4yr'!AK48)*100</f>
        <v>11.041955766619417</v>
      </c>
      <c r="I54" s="84">
        <f t="shared" ref="I54:L58" si="28">IF((C54-P54)=0,(C54-P54),IF((C54-P54)&gt;=0.005,(C54-P54),IF((C54-P54&lt;=-0.005),(C54-P54),"**")))</f>
        <v>7.1029601974764489E-2</v>
      </c>
      <c r="J54" s="84">
        <f t="shared" si="28"/>
        <v>-6.4793165932418191</v>
      </c>
      <c r="K54" s="77">
        <f t="shared" si="28"/>
        <v>0.20727763629381563</v>
      </c>
      <c r="L54" s="84">
        <f t="shared" si="28"/>
        <v>-2.257083343307869</v>
      </c>
      <c r="M54" s="153">
        <f>G54-T54</f>
        <v>2.5455062208923351E-3</v>
      </c>
      <c r="N54" s="84">
        <f>IF((H54-U54)=0,(H54-U54),IF((H54-U54)&gt;=0.005,(H54-U54),IF((H54-U54&lt;=-0.005),(H54-U54),"**")))</f>
        <v>8.4555471920602265</v>
      </c>
      <c r="O54" s="1"/>
      <c r="P54" s="24">
        <f>('Tuition-4Yr'!AF48/'Total E&amp;G-4yr'!AF48)*100</f>
        <v>37.9924861000774</v>
      </c>
      <c r="Q54" s="25">
        <f>('State Appropriations-4Yr'!AF48/'Total E&amp;G-4yr'!AF48)*100</f>
        <v>32.906631800140076</v>
      </c>
      <c r="R54" s="154">
        <f>IF((('Local Appropriations-4Yr'!AF48/'Total E&amp;G-4yr'!AF48)*100)=0,(('Local Appropriations-4Yr'!AF48/'Total E&amp;G-4yr'!AF48)*100),IF((('Local Appropriations-4Yr'!AF48/'Total E&amp;G-4yr'!AF48)*100)&gt;=0.005,(('Local Appropriations-4Yr'!AF48/'Total E&amp;G-4yr'!AF48)*100),"*"))</f>
        <v>0.36732085851431456</v>
      </c>
      <c r="S54" s="24">
        <f>('Fed Contracts Grnts-4Yr'!AF48/'Total E&amp;G-4yr'!AF48)*100</f>
        <v>16.764462203530858</v>
      </c>
      <c r="T54" s="26">
        <f>('Other Contract Grnts-4Yr'!AF48/'Total E&amp;G-4yr'!AF48)*100</f>
        <v>9.3826904631781645</v>
      </c>
      <c r="U54" s="24">
        <f>(('All Other E&amp;G-4Yr'!AF48+'Investment Income-4Yr'!AF48)/('Total E&amp;G-4yr'!AF48))*100</f>
        <v>2.5864085745591905</v>
      </c>
      <c r="W54" s="103">
        <f t="shared" si="26"/>
        <v>100</v>
      </c>
      <c r="X54" s="104">
        <f t="shared" si="27"/>
        <v>100</v>
      </c>
      <c r="Y54" s="109">
        <f t="shared" si="1"/>
        <v>33.273952658654387</v>
      </c>
      <c r="Z54" s="110">
        <f t="shared" si="2"/>
        <v>27.001913701706385</v>
      </c>
      <c r="AA54" s="109">
        <f t="shared" si="3"/>
        <v>26.147152666709022</v>
      </c>
      <c r="AB54" s="110">
        <f t="shared" si="4"/>
        <v>23.892614829622048</v>
      </c>
      <c r="AC54" s="13">
        <f t="shared" si="5"/>
        <v>100</v>
      </c>
      <c r="AD54" s="13">
        <f t="shared" si="6"/>
        <v>100.00000000000001</v>
      </c>
      <c r="AE54" s="13"/>
    </row>
    <row r="55" spans="1:31">
      <c r="A55" s="71" t="s">
        <v>61</v>
      </c>
      <c r="B55" s="71"/>
      <c r="C55" s="77">
        <f>('Tuition-4Yr'!AK49/'Total E&amp;G-4yr'!AK49)*100</f>
        <v>51.254003514991254</v>
      </c>
      <c r="D55" s="84">
        <f>('State Appropriations-4Yr'!AK49)/('Total E&amp;G-4yr'!AK49)*100</f>
        <v>17.428050149570904</v>
      </c>
      <c r="E55" s="77">
        <f>IF((('Local Appropriations-4Yr'!AK49/'Total E&amp;G-4yr'!AK49)*100)=0,(('Local Appropriations-4Yr'!AK49/'Total E&amp;G-4yr'!AK49)*100),IF((('Local Appropriations-4Yr'!AK49/'Total E&amp;G-4yr'!AK49)*100)&gt;=0.05,('Local Appropriations-4Yr'!AK49/'Total E&amp;G-4yr'!AK49)*100,"*"))</f>
        <v>0</v>
      </c>
      <c r="F55" s="84">
        <f>('Fed Contracts Grnts-4Yr'!AK49)/('Total E&amp;G-4yr'!AK49)*100</f>
        <v>11.05346020472844</v>
      </c>
      <c r="G55" s="77">
        <f>('Other Contract Grnts-4Yr'!AK49)/('Total E&amp;G-4yr'!AK49)*100</f>
        <v>10.711799334410159</v>
      </c>
      <c r="H55" s="84">
        <f>('All Other E&amp;G-4Yr'!AK49+'Investment Income-4Yr'!AK49)/('Total E&amp;G-4yr'!AK49)*100</f>
        <v>9.552686796299259</v>
      </c>
      <c r="I55" s="84">
        <f t="shared" si="28"/>
        <v>5.2683846985936071</v>
      </c>
      <c r="J55" s="84">
        <f t="shared" si="28"/>
        <v>0.20760315705397048</v>
      </c>
      <c r="K55" s="77">
        <f t="shared" si="28"/>
        <v>0</v>
      </c>
      <c r="L55" s="84">
        <f t="shared" si="28"/>
        <v>-1.119748519420682</v>
      </c>
      <c r="M55" s="77">
        <f>IF((G55-T55)=0,(G55-T55),IF((G55-T55)&gt;=0.005,(G55-T55),IF((G55-T55&lt;=-0.005),(G55-T55),"**")))</f>
        <v>0.54651282546480751</v>
      </c>
      <c r="N55" s="84">
        <f>IF((H55-U55)=0,(H55-U55),IF((H55-U55)&gt;=0.005,(H55-U55),IF((H55-U55&lt;=-0.005),(H55-U55),"**")))</f>
        <v>-4.9027521616916889</v>
      </c>
      <c r="O55" s="1"/>
      <c r="P55" s="24">
        <f>('Tuition-4Yr'!AF49/'Total E&amp;G-4yr'!AF49)*100</f>
        <v>45.985618816397647</v>
      </c>
      <c r="Q55" s="25">
        <f>('State Appropriations-4Yr'!AF49/'Total E&amp;G-4yr'!AF49)*100</f>
        <v>17.220446992516933</v>
      </c>
      <c r="R55" s="154">
        <f>IF((('Local Appropriations-4Yr'!AF49/'Total E&amp;G-4yr'!AF49)*100)=0,(('Local Appropriations-4Yr'!AF49/'Total E&amp;G-4yr'!AF49)*100),IF((('Local Appropriations-4Yr'!AF49/'Total E&amp;G-4yr'!AF49)*100)&gt;=0.005,(('Local Appropriations-4Yr'!AF49/'Total E&amp;G-4yr'!AF49)*100),"*"))</f>
        <v>0</v>
      </c>
      <c r="S55" s="24">
        <f>('Fed Contracts Grnts-4Yr'!AF49/'Total E&amp;G-4yr'!AF49)*100</f>
        <v>12.173208724149122</v>
      </c>
      <c r="T55" s="26">
        <f>('Other Contract Grnts-4Yr'!AF49/'Total E&amp;G-4yr'!AF49)*100</f>
        <v>10.165286508945352</v>
      </c>
      <c r="U55" s="24">
        <f>(('All Other E&amp;G-4Yr'!AF49+'Investment Income-4Yr'!AF49)/('Total E&amp;G-4yr'!AF49))*100</f>
        <v>14.455438957990948</v>
      </c>
      <c r="W55" s="103">
        <f t="shared" si="26"/>
        <v>100.00000000000001</v>
      </c>
      <c r="X55" s="104">
        <f t="shared" si="27"/>
        <v>100.00000000000001</v>
      </c>
      <c r="Y55" s="109">
        <f t="shared" si="1"/>
        <v>17.220446992516933</v>
      </c>
      <c r="Z55" s="110">
        <f t="shared" si="2"/>
        <v>17.428050149570904</v>
      </c>
      <c r="AA55" s="109">
        <f t="shared" si="3"/>
        <v>22.338495233094473</v>
      </c>
      <c r="AB55" s="110">
        <f t="shared" si="4"/>
        <v>21.765259539138597</v>
      </c>
      <c r="AC55" s="13">
        <f t="shared" si="5"/>
        <v>100</v>
      </c>
      <c r="AD55" s="13">
        <f t="shared" si="6"/>
        <v>100.00000000000001</v>
      </c>
      <c r="AE55" s="13"/>
    </row>
    <row r="56" spans="1:31">
      <c r="A56" s="71" t="s">
        <v>62</v>
      </c>
      <c r="B56" s="71"/>
      <c r="C56" s="77">
        <f>('Tuition-4Yr'!AK50/'Total E&amp;G-4yr'!AK50)*100</f>
        <v>40.955538571676115</v>
      </c>
      <c r="D56" s="84">
        <f>('State Appropriations-4Yr'!AK50)/('Total E&amp;G-4yr'!AK50)*100</f>
        <v>24.567354228690053</v>
      </c>
      <c r="E56" s="77">
        <f>IF((('Local Appropriations-4Yr'!AK50/'Total E&amp;G-4yr'!AK50)*100)=0,(('Local Appropriations-4Yr'!AK50/'Total E&amp;G-4yr'!AK50)*100),IF((('Local Appropriations-4Yr'!AK50/'Total E&amp;G-4yr'!AK50)*100)&gt;=0.05,('Local Appropriations-4Yr'!AK50/'Total E&amp;G-4yr'!AK50)*100,"*"))</f>
        <v>0</v>
      </c>
      <c r="F56" s="84">
        <f>('Fed Contracts Grnts-4Yr'!AK50)/('Total E&amp;G-4yr'!AK50)*100</f>
        <v>14.626929401465857</v>
      </c>
      <c r="G56" s="77">
        <f>('Other Contract Grnts-4Yr'!AK50)/('Total E&amp;G-4yr'!AK50)*100</f>
        <v>10.257157357719587</v>
      </c>
      <c r="H56" s="84">
        <f>('All Other E&amp;G-4Yr'!AK50+'Investment Income-4Yr'!AK50)/('Total E&amp;G-4yr'!AK50)*100</f>
        <v>9.5930204404483952</v>
      </c>
      <c r="I56" s="84">
        <f t="shared" si="28"/>
        <v>-0.14391663505857366</v>
      </c>
      <c r="J56" s="84">
        <f t="shared" si="28"/>
        <v>-3.8863114210677168</v>
      </c>
      <c r="K56" s="77">
        <f t="shared" si="28"/>
        <v>0</v>
      </c>
      <c r="L56" s="84">
        <f t="shared" si="28"/>
        <v>-3.426268298904839</v>
      </c>
      <c r="M56" s="77">
        <f>IF((G56-T56)=0,(G56-T56),IF((G56-T56)&gt;=0.005,(G56-T56),IF((G56-T56&lt;=-0.005),(G56-T56),"**")))</f>
        <v>1.5682713673141002</v>
      </c>
      <c r="N56" s="84">
        <f>IF((H56-U56)=0,(H56-U56),IF((H56-U56)&gt;=0.005,(H56-U56),IF((H56-U56&lt;=-0.005),(H56-U56),"**")))</f>
        <v>5.8882249877170363</v>
      </c>
      <c r="O56" s="1"/>
      <c r="P56" s="24">
        <f>('Tuition-4Yr'!AF50/'Total E&amp;G-4yr'!AF50)*100</f>
        <v>41.099455206734689</v>
      </c>
      <c r="Q56" s="25">
        <f>('State Appropriations-4Yr'!AF50/'Total E&amp;G-4yr'!AF50)*100</f>
        <v>28.45366564975777</v>
      </c>
      <c r="R56" s="154">
        <f>IF((('Local Appropriations-4Yr'!AF50/'Total E&amp;G-4yr'!AF50)*100)=0,(('Local Appropriations-4Yr'!AF50/'Total E&amp;G-4yr'!AF50)*100),IF((('Local Appropriations-4Yr'!AF50/'Total E&amp;G-4yr'!AF50)*100)&gt;=0.005,(('Local Appropriations-4Yr'!AF50/'Total E&amp;G-4yr'!AF50)*100),"*"))</f>
        <v>0</v>
      </c>
      <c r="S56" s="24">
        <f>('Fed Contracts Grnts-4Yr'!AF50/'Total E&amp;G-4yr'!AF50)*100</f>
        <v>18.053197700370696</v>
      </c>
      <c r="T56" s="26">
        <f>('Other Contract Grnts-4Yr'!AF50/'Total E&amp;G-4yr'!AF50)*100</f>
        <v>8.6888859904054865</v>
      </c>
      <c r="U56" s="24">
        <f>(('All Other E&amp;G-4Yr'!AF50+'Investment Income-4Yr'!AF50)/('Total E&amp;G-4yr'!AF50))*100</f>
        <v>3.7047954527313589</v>
      </c>
      <c r="W56" s="103">
        <f t="shared" si="26"/>
        <v>100</v>
      </c>
      <c r="X56" s="104">
        <f t="shared" si="27"/>
        <v>100.00000000000001</v>
      </c>
      <c r="Y56" s="109">
        <f t="shared" si="1"/>
        <v>28.45366564975777</v>
      </c>
      <c r="Z56" s="110">
        <f t="shared" si="2"/>
        <v>24.567354228690053</v>
      </c>
      <c r="AA56" s="109">
        <f t="shared" si="3"/>
        <v>26.742083690776184</v>
      </c>
      <c r="AB56" s="110">
        <f t="shared" si="4"/>
        <v>24.884086759185443</v>
      </c>
      <c r="AC56" s="13">
        <f t="shared" si="5"/>
        <v>100</v>
      </c>
      <c r="AD56" s="13">
        <f t="shared" si="6"/>
        <v>100.00000000000001</v>
      </c>
      <c r="AE56" s="13"/>
    </row>
    <row r="57" spans="1:31">
      <c r="A57" s="71" t="s">
        <v>63</v>
      </c>
      <c r="B57" s="71"/>
      <c r="C57" s="77">
        <f>('Tuition-4Yr'!AK51/'Total E&amp;G-4yr'!AK51)*100</f>
        <v>36.026834936683535</v>
      </c>
      <c r="D57" s="84">
        <f>('State Appropriations-4Yr'!AK51)/('Total E&amp;G-4yr'!AK51)*100</f>
        <v>15.432517175133922</v>
      </c>
      <c r="E57" s="77">
        <f>IF((('Local Appropriations-4Yr'!AK51/'Total E&amp;G-4yr'!AK51)*100)=0,(('Local Appropriations-4Yr'!AK51/'Total E&amp;G-4yr'!AK51)*100),IF((('Local Appropriations-4Yr'!AK51/'Total E&amp;G-4yr'!AK51)*100)&gt;=0.05,('Local Appropriations-4Yr'!AK51/'Total E&amp;G-4yr'!AK51)*100,"*"))</f>
        <v>0</v>
      </c>
      <c r="F57" s="84">
        <f>('Fed Contracts Grnts-4Yr'!AK51)/('Total E&amp;G-4yr'!AK51)*100</f>
        <v>14.88934937163426</v>
      </c>
      <c r="G57" s="77">
        <f>('Other Contract Grnts-4Yr'!AK51)/('Total E&amp;G-4yr'!AK51)*100</f>
        <v>15.693802585755797</v>
      </c>
      <c r="H57" s="84">
        <f>('All Other E&amp;G-4Yr'!AK51+'Investment Income-4Yr'!AK51)/('Total E&amp;G-4yr'!AK51)*100</f>
        <v>17.957495930792469</v>
      </c>
      <c r="I57" s="84">
        <f t="shared" si="28"/>
        <v>2.2409583176522858</v>
      </c>
      <c r="J57" s="84">
        <f t="shared" si="28"/>
        <v>-4.7940518993331782</v>
      </c>
      <c r="K57" s="77">
        <f t="shared" si="28"/>
        <v>0</v>
      </c>
      <c r="L57" s="84">
        <f t="shared" si="28"/>
        <v>-3.7156854694344617</v>
      </c>
      <c r="M57" s="77">
        <f>IF((G57-T57)=0,(G57-T57),IF((G57-T57)&gt;=0.005,(G57-T57),IF((G57-T57&lt;=-0.005),(G57-T57),"**")))</f>
        <v>0.46576555501377115</v>
      </c>
      <c r="N57" s="84">
        <f>IF((H57-U57)=0,(H57-U57),IF((H57-U57)&gt;=0.005,(H57-U57),IF((H57-U57&lt;=-0.005),(H57-U57),"**")))</f>
        <v>5.8030134961015651</v>
      </c>
      <c r="O57" s="1"/>
      <c r="P57" s="24">
        <f>('Tuition-4Yr'!AF51/'Total E&amp;G-4yr'!AF51)*100</f>
        <v>33.785876619031249</v>
      </c>
      <c r="Q57" s="25">
        <f>('State Appropriations-4Yr'!AF51/'Total E&amp;G-4yr'!AF51)*100</f>
        <v>20.226569074467101</v>
      </c>
      <c r="R57" s="154">
        <f>IF((('Local Appropriations-4Yr'!AF51/'Total E&amp;G-4yr'!AF51)*100)=0,(('Local Appropriations-4Yr'!AF51/'Total E&amp;G-4yr'!AF51)*100),IF((('Local Appropriations-4Yr'!AF51/'Total E&amp;G-4yr'!AF51)*100)&gt;=0.005,(('Local Appropriations-4Yr'!AF51/'Total E&amp;G-4yr'!AF51)*100),"*"))</f>
        <v>0</v>
      </c>
      <c r="S57" s="24">
        <f>('Fed Contracts Grnts-4Yr'!AF51/'Total E&amp;G-4yr'!AF51)*100</f>
        <v>18.605034841068722</v>
      </c>
      <c r="T57" s="26">
        <f>('Other Contract Grnts-4Yr'!AF51/'Total E&amp;G-4yr'!AF51)*100</f>
        <v>15.228037030742026</v>
      </c>
      <c r="U57" s="24">
        <f>(('All Other E&amp;G-4Yr'!AF51+'Investment Income-4Yr'!AF51)/('Total E&amp;G-4yr'!AF51))*100</f>
        <v>12.154482434690904</v>
      </c>
      <c r="W57" s="103">
        <f t="shared" si="26"/>
        <v>100.00000000000001</v>
      </c>
      <c r="X57" s="104">
        <f t="shared" si="27"/>
        <v>100</v>
      </c>
      <c r="Y57" s="109">
        <f t="shared" si="1"/>
        <v>20.226569074467101</v>
      </c>
      <c r="Z57" s="110">
        <f t="shared" si="2"/>
        <v>15.432517175133922</v>
      </c>
      <c r="AA57" s="109">
        <f t="shared" si="3"/>
        <v>33.833071871810745</v>
      </c>
      <c r="AB57" s="110">
        <f t="shared" si="4"/>
        <v>30.583151957390058</v>
      </c>
      <c r="AC57" s="13">
        <f t="shared" si="5"/>
        <v>100</v>
      </c>
      <c r="AD57" s="13">
        <f t="shared" si="6"/>
        <v>99.999999999999986</v>
      </c>
      <c r="AE57" s="13"/>
    </row>
    <row r="58" spans="1:31">
      <c r="A58" s="73" t="s">
        <v>64</v>
      </c>
      <c r="B58" s="73"/>
      <c r="C58" s="80">
        <f>('Tuition-4Yr'!AK52/'Total E&amp;G-4yr'!AK52)*100</f>
        <v>42.118813010351616</v>
      </c>
      <c r="D58" s="86">
        <f>('State Appropriations-4Yr'!AK52)/('Total E&amp;G-4yr'!AK52)*100</f>
        <v>28.707540576864126</v>
      </c>
      <c r="E58" s="80">
        <f>IF((('Local Appropriations-4Yr'!AK52/'Total E&amp;G-4yr'!AK52)*100)=0,(('Local Appropriations-4Yr'!AK52/'Total E&amp;G-4yr'!AK52)*100),IF((('Local Appropriations-4Yr'!AK52/'Total E&amp;G-4yr'!AK52)*100)&gt;=0.05,('Local Appropriations-4Yr'!AK52/'Total E&amp;G-4yr'!AK52)*100,"*"))</f>
        <v>0.49801495192670975</v>
      </c>
      <c r="F58" s="86">
        <f>('Fed Contracts Grnts-4Yr'!AK52)/('Total E&amp;G-4yr'!AK52)*100</f>
        <v>11.814163400517346</v>
      </c>
      <c r="G58" s="80">
        <f>('Other Contract Grnts-4Yr'!AK52)/('Total E&amp;G-4yr'!AK52)*100</f>
        <v>9.717238318443199</v>
      </c>
      <c r="H58" s="86">
        <f>('All Other E&amp;G-4Yr'!AK52+'Investment Income-4Yr'!AK52)/('Total E&amp;G-4yr'!AK52)*100</f>
        <v>7.1442297418969973</v>
      </c>
      <c r="I58" s="86">
        <f t="shared" si="28"/>
        <v>2.4116630878116467</v>
      </c>
      <c r="J58" s="86">
        <f t="shared" si="28"/>
        <v>-0.97290391365973505</v>
      </c>
      <c r="K58" s="80">
        <f t="shared" si="28"/>
        <v>0.11455330676200937</v>
      </c>
      <c r="L58" s="86">
        <f t="shared" si="28"/>
        <v>-1.0383358427708522</v>
      </c>
      <c r="M58" s="80">
        <f>IF((G58-T58)=0,(G58-T58),IF((G58-T58)&gt;=0.005,(G58-T58),IF((G58-T58&lt;=-0.005),(G58-T58),"**")))</f>
        <v>-0.24426789153588579</v>
      </c>
      <c r="N58" s="86">
        <f>IF((H58-U58)=0,(H58-U58),IF((H58-U58)&gt;=0.005,(H58-U58),IF((H58-U58&lt;=-0.005),(H58-U58),"**")))</f>
        <v>-0.27070874660718403</v>
      </c>
      <c r="O58" s="1"/>
      <c r="P58" s="24">
        <f>('Tuition-4Yr'!AF52/'Total E&amp;G-4yr'!AF52)*100</f>
        <v>39.707149922539969</v>
      </c>
      <c r="Q58" s="25">
        <f>('State Appropriations-4Yr'!AF52/'Total E&amp;G-4yr'!AF52)*100</f>
        <v>29.680444490523861</v>
      </c>
      <c r="R58" s="154">
        <f>IF((('Local Appropriations-4Yr'!AF52/'Total E&amp;G-4yr'!AF52)*100)=0,(('Local Appropriations-4Yr'!AF52/'Total E&amp;G-4yr'!AF52)*100),IF((('Local Appropriations-4Yr'!AF52/'Total E&amp;G-4yr'!AF52)*100)&gt;=0.005,(('Local Appropriations-4Yr'!AF52/'Total E&amp;G-4yr'!AF52)*100),"*"))</f>
        <v>0.38346164516470038</v>
      </c>
      <c r="S58" s="24">
        <f>('Fed Contracts Grnts-4Yr'!AF52/'Total E&amp;G-4yr'!AF52)*100</f>
        <v>12.852499243288198</v>
      </c>
      <c r="T58" s="26">
        <f>('Other Contract Grnts-4Yr'!AF52/'Total E&amp;G-4yr'!AF52)*100</f>
        <v>9.9615062099790848</v>
      </c>
      <c r="U58" s="24">
        <f>(('All Other E&amp;G-4Yr'!AF52+'Investment Income-4Yr'!AF52)/('Total E&amp;G-4yr'!AF52))*100</f>
        <v>7.4149384885041814</v>
      </c>
      <c r="W58" s="103">
        <f t="shared" si="26"/>
        <v>99.999999999999986</v>
      </c>
      <c r="X58" s="104">
        <f t="shared" si="27"/>
        <v>99.999999999999986</v>
      </c>
      <c r="Y58" s="109">
        <f t="shared" si="1"/>
        <v>30.063906135688562</v>
      </c>
      <c r="Z58" s="110">
        <f t="shared" si="2"/>
        <v>29.205555528790835</v>
      </c>
      <c r="AA58" s="109">
        <f t="shared" si="3"/>
        <v>22.814005453267285</v>
      </c>
      <c r="AB58" s="110">
        <f t="shared" si="4"/>
        <v>21.531401718960545</v>
      </c>
      <c r="AC58" s="13">
        <f t="shared" si="5"/>
        <v>100</v>
      </c>
      <c r="AD58" s="13">
        <f t="shared" si="6"/>
        <v>100</v>
      </c>
      <c r="AE58" s="13"/>
    </row>
    <row r="59" spans="1:31">
      <c r="A59" s="70"/>
      <c r="B59" s="70"/>
      <c r="C59" s="76"/>
      <c r="D59" s="83"/>
      <c r="E59" s="76"/>
      <c r="F59" s="83"/>
      <c r="G59" s="76"/>
      <c r="H59" s="83"/>
      <c r="I59" s="83"/>
      <c r="J59" s="83"/>
      <c r="K59" s="76"/>
      <c r="L59" s="83"/>
      <c r="M59" s="76"/>
      <c r="N59" s="83"/>
      <c r="O59" s="1"/>
      <c r="P59" s="24"/>
      <c r="Q59" s="25"/>
      <c r="R59" s="154"/>
      <c r="S59" s="24"/>
      <c r="T59" s="26"/>
      <c r="U59" s="24"/>
      <c r="W59" s="103"/>
      <c r="X59" s="104"/>
      <c r="Y59" s="109"/>
      <c r="Z59" s="110"/>
      <c r="AA59" s="109"/>
      <c r="AB59" s="110"/>
      <c r="AC59" s="13"/>
      <c r="AD59" s="13"/>
      <c r="AE59" s="13"/>
    </row>
    <row r="60" spans="1:31">
      <c r="A60" s="71" t="s">
        <v>65</v>
      </c>
      <c r="B60" s="71"/>
      <c r="C60" s="77">
        <f>('Tuition-4Yr'!AK54/'Total E&amp;G-4yr'!AK54)*100</f>
        <v>41.252464239568113</v>
      </c>
      <c r="D60" s="84">
        <f>('State Appropriations-4Yr'!AK54)/('Total E&amp;G-4yr'!AK54)*100</f>
        <v>33.038199965750799</v>
      </c>
      <c r="E60" s="77">
        <f>IF((('Local Appropriations-4Yr'!AK54/'Total E&amp;G-4yr'!AK54)*100)=0,(('Local Appropriations-4Yr'!AK54/'Total E&amp;G-4yr'!AK54)*100),IF((('Local Appropriations-4Yr'!AK54/'Total E&amp;G-4yr'!AK54)*100)&gt;=0.05,('Local Appropriations-4Yr'!AK54/'Total E&amp;G-4yr'!AK54)*100,"*"))</f>
        <v>0</v>
      </c>
      <c r="F60" s="84">
        <f>('Fed Contracts Grnts-4Yr'!AK54)/('Total E&amp;G-4yr'!AK54)*100</f>
        <v>9.9581780853450539</v>
      </c>
      <c r="G60" s="77">
        <f>('Other Contract Grnts-4Yr'!AK54)/('Total E&amp;G-4yr'!AK54)*100</f>
        <v>5.1755951620990848</v>
      </c>
      <c r="H60" s="84">
        <f>('All Other E&amp;G-4Yr'!AK54+'Investment Income-4Yr'!AK54)/('Total E&amp;G-4yr'!AK54)*100</f>
        <v>10.575562547236949</v>
      </c>
      <c r="I60" s="84">
        <f t="shared" ref="I60:I69" si="29">IF((C60-P60)=0,(C60-P60),IF((C60-P60)&gt;=0.005,(C60-P60),IF((C60-P60&lt;=-0.005),(C60-P60),"**")))</f>
        <v>5.5244311399795833</v>
      </c>
      <c r="J60" s="84">
        <f t="shared" ref="J60:J69" si="30">IF((D60-Q60)=0,(D60-Q60),IF((D60-Q60)&gt;=0.005,(D60-Q60),IF((D60-Q60&lt;=-0.005),(D60-Q60),"**")))</f>
        <v>-7.4064930840076215</v>
      </c>
      <c r="K60" s="77">
        <f t="shared" ref="K60:K69" si="31">IF((E60-R60)=0,(E60-R60),IF((E60-R60)&gt;=0.005,(E60-R60),IF((E60-R60&lt;=-0.005),(E60-R60),"**")))</f>
        <v>0</v>
      </c>
      <c r="L60" s="84">
        <f t="shared" ref="L60:L69" si="32">IF((F60-S60)=0,(F60-S60),IF((F60-S60)&gt;=0.005,(F60-S60),IF((F60-S60&lt;=-0.005),(F60-S60),"**")))</f>
        <v>-0.95830082385371895</v>
      </c>
      <c r="M60" s="77">
        <f t="shared" ref="M60:M69" si="33">IF((G60-T60)=0,(G60-T60),IF((G60-T60)&gt;=0.005,(G60-T60),IF((G60-T60&lt;=-0.005),(G60-T60),"**")))</f>
        <v>-0.41193974874267703</v>
      </c>
      <c r="N60" s="84">
        <f t="shared" ref="N60:N69" si="34">IF((H60-U60)=0,(H60-U60),IF((H60-U60)&gt;=0.005,(H60-U60),IF((H60-U60&lt;=-0.005),(H60-U60),"**")))</f>
        <v>3.2523025166244226</v>
      </c>
      <c r="O60" s="1"/>
      <c r="P60" s="24">
        <f>('Tuition-4Yr'!AF54/'Total E&amp;G-4yr'!AF54)*100</f>
        <v>35.728033099588529</v>
      </c>
      <c r="Q60" s="25">
        <f>('State Appropriations-4Yr'!AF54/'Total E&amp;G-4yr'!AF54)*100</f>
        <v>40.44469304975842</v>
      </c>
      <c r="R60" s="154">
        <f>IF((('Local Appropriations-4Yr'!AF54/'Total E&amp;G-4yr'!AF54)*100)=0,(('Local Appropriations-4Yr'!AF54/'Total E&amp;G-4yr'!AF54)*100),IF((('Local Appropriations-4Yr'!AF54/'Total E&amp;G-4yr'!AF54)*100)&gt;=0.005,(('Local Appropriations-4Yr'!AF54/'Total E&amp;G-4yr'!AF54)*100),"*"))</f>
        <v>0</v>
      </c>
      <c r="S60" s="24">
        <f>('Fed Contracts Grnts-4Yr'!AF54/'Total E&amp;G-4yr'!AF54)*100</f>
        <v>10.916478909198773</v>
      </c>
      <c r="T60" s="26">
        <f>('Other Contract Grnts-4Yr'!AF54/'Total E&amp;G-4yr'!AF54)*100</f>
        <v>5.5875349108417618</v>
      </c>
      <c r="U60" s="24">
        <f>(('All Other E&amp;G-4Yr'!AF54+'Investment Income-4Yr'!AF54)/('Total E&amp;G-4yr'!AF54))*100</f>
        <v>7.3232600306125262</v>
      </c>
      <c r="W60" s="103">
        <f t="shared" ref="W60:W69" si="35">SUM(P60:U60)</f>
        <v>100.00000000000001</v>
      </c>
      <c r="X60" s="104">
        <f t="shared" ref="X60:X69" si="36">SUM(C60:H60)</f>
        <v>100</v>
      </c>
      <c r="Y60" s="109">
        <f t="shared" si="1"/>
        <v>40.44469304975842</v>
      </c>
      <c r="Z60" s="110">
        <f t="shared" si="2"/>
        <v>33.038199965750799</v>
      </c>
      <c r="AA60" s="109">
        <f t="shared" si="3"/>
        <v>16.504013820040534</v>
      </c>
      <c r="AB60" s="110">
        <f t="shared" si="4"/>
        <v>15.13377324744414</v>
      </c>
      <c r="AC60" s="13">
        <f t="shared" si="5"/>
        <v>100.00000000000001</v>
      </c>
      <c r="AD60" s="13">
        <f t="shared" si="6"/>
        <v>100</v>
      </c>
      <c r="AE60" s="13"/>
    </row>
    <row r="61" spans="1:31">
      <c r="A61" s="71" t="s">
        <v>66</v>
      </c>
      <c r="B61" s="71"/>
      <c r="C61" s="77">
        <f>('Tuition-4Yr'!AK55/'Total E&amp;G-4yr'!AK55)*100</f>
        <v>46.485073631867998</v>
      </c>
      <c r="D61" s="84">
        <f>('State Appropriations-4Yr'!AK55)/('Total E&amp;G-4yr'!AK55)*100</f>
        <v>26.214270429859198</v>
      </c>
      <c r="E61" s="77">
        <f>IF((('Local Appropriations-4Yr'!AK55/'Total E&amp;G-4yr'!AK55)*100)=0,(('Local Appropriations-4Yr'!AK55/'Total E&amp;G-4yr'!AK55)*100),IF((('Local Appropriations-4Yr'!AK55/'Total E&amp;G-4yr'!AK55)*100)&gt;=0.05,('Local Appropriations-4Yr'!AK55/'Total E&amp;G-4yr'!AK55)*100,"*"))</f>
        <v>0</v>
      </c>
      <c r="F61" s="84">
        <f>('Fed Contracts Grnts-4Yr'!AK55)/('Total E&amp;G-4yr'!AK55)*100</f>
        <v>11.633241938074844</v>
      </c>
      <c r="G61" s="77">
        <f>('Other Contract Grnts-4Yr'!AK55)/('Total E&amp;G-4yr'!AK55)*100</f>
        <v>7.6602589518928328</v>
      </c>
      <c r="H61" s="84">
        <f>('All Other E&amp;G-4Yr'!AK55+'Investment Income-4Yr'!AK55)/('Total E&amp;G-4yr'!AK55)*100</f>
        <v>8.0071550483051332</v>
      </c>
      <c r="I61" s="84">
        <f t="shared" si="29"/>
        <v>3.6505019904725344</v>
      </c>
      <c r="J61" s="84">
        <f t="shared" si="30"/>
        <v>-2.0497920879934739</v>
      </c>
      <c r="K61" s="77">
        <f t="shared" si="31"/>
        <v>0</v>
      </c>
      <c r="L61" s="84">
        <f t="shared" si="32"/>
        <v>-3.2983629988342855</v>
      </c>
      <c r="M61" s="77">
        <f t="shared" si="33"/>
        <v>0.12662316297904752</v>
      </c>
      <c r="N61" s="84">
        <f t="shared" si="34"/>
        <v>1.571029933376197</v>
      </c>
      <c r="O61" s="1"/>
      <c r="P61" s="24">
        <f>('Tuition-4Yr'!AF55/'Total E&amp;G-4yr'!AF55)*100</f>
        <v>42.834571641395463</v>
      </c>
      <c r="Q61" s="25">
        <f>('State Appropriations-4Yr'!AF55/'Total E&amp;G-4yr'!AF55)*100</f>
        <v>28.264062517852672</v>
      </c>
      <c r="R61" s="154">
        <f>IF((('Local Appropriations-4Yr'!AF55/'Total E&amp;G-4yr'!AF55)*100)=0,(('Local Appropriations-4Yr'!AF55/'Total E&amp;G-4yr'!AF55)*100),IF((('Local Appropriations-4Yr'!AF55/'Total E&amp;G-4yr'!AF55)*100)&gt;=0.005,(('Local Appropriations-4Yr'!AF55/'Total E&amp;G-4yr'!AF55)*100),"*"))</f>
        <v>0</v>
      </c>
      <c r="S61" s="24">
        <f>('Fed Contracts Grnts-4Yr'!AF55/'Total E&amp;G-4yr'!AF55)*100</f>
        <v>14.93160493690913</v>
      </c>
      <c r="T61" s="26">
        <f>('Other Contract Grnts-4Yr'!AF55/'Total E&amp;G-4yr'!AF55)*100</f>
        <v>7.5336357889137853</v>
      </c>
      <c r="U61" s="24">
        <f>(('All Other E&amp;G-4Yr'!AF55+'Investment Income-4Yr'!AF55)/('Total E&amp;G-4yr'!AF55))*100</f>
        <v>6.4361251149289362</v>
      </c>
      <c r="W61" s="103">
        <f t="shared" si="35"/>
        <v>99.999999999999986</v>
      </c>
      <c r="X61" s="104">
        <f t="shared" si="36"/>
        <v>100.00000000000001</v>
      </c>
      <c r="Y61" s="109">
        <f t="shared" si="1"/>
        <v>28.264062517852672</v>
      </c>
      <c r="Z61" s="110">
        <f t="shared" si="2"/>
        <v>26.214270429859198</v>
      </c>
      <c r="AA61" s="109">
        <f t="shared" si="3"/>
        <v>22.465240725822916</v>
      </c>
      <c r="AB61" s="110">
        <f t="shared" si="4"/>
        <v>19.293500889967678</v>
      </c>
      <c r="AC61" s="13">
        <f t="shared" si="5"/>
        <v>99.999999999999986</v>
      </c>
      <c r="AD61" s="13">
        <f t="shared" si="6"/>
        <v>100</v>
      </c>
      <c r="AE61" s="13"/>
    </row>
    <row r="62" spans="1:31">
      <c r="A62" s="71" t="s">
        <v>67</v>
      </c>
      <c r="B62" s="71"/>
      <c r="C62" s="77">
        <f>('Tuition-4Yr'!AK56/'Total E&amp;G-4yr'!AK56)*100</f>
        <v>41.458551604760324</v>
      </c>
      <c r="D62" s="84">
        <f>('State Appropriations-4Yr'!AK56)/('Total E&amp;G-4yr'!AK56)*100</f>
        <v>26.49546884850265</v>
      </c>
      <c r="E62" s="77">
        <f>IF((('Local Appropriations-4Yr'!AK56/'Total E&amp;G-4yr'!AK56)*100)=0,(('Local Appropriations-4Yr'!AK56/'Total E&amp;G-4yr'!AK56)*100),IF((('Local Appropriations-4Yr'!AK56/'Total E&amp;G-4yr'!AK56)*100)&gt;=0.05,('Local Appropriations-4Yr'!AK56/'Total E&amp;G-4yr'!AK56)*100,"*"))</f>
        <v>0</v>
      </c>
      <c r="F62" s="84">
        <f>('Fed Contracts Grnts-4Yr'!AK56)/('Total E&amp;G-4yr'!AK56)*100</f>
        <v>11.957115971242988</v>
      </c>
      <c r="G62" s="77">
        <f>('Other Contract Grnts-4Yr'!AK56)/('Total E&amp;G-4yr'!AK56)*100</f>
        <v>6.9658050685193746</v>
      </c>
      <c r="H62" s="84">
        <f>('All Other E&amp;G-4Yr'!AK56+'Investment Income-4Yr'!AK56)/('Total E&amp;G-4yr'!AK56)*100</f>
        <v>13.123058506974674</v>
      </c>
      <c r="I62" s="84">
        <f t="shared" si="29"/>
        <v>3.9726583970685923</v>
      </c>
      <c r="J62" s="84">
        <f t="shared" si="30"/>
        <v>2.3281577992927716</v>
      </c>
      <c r="K62" s="77">
        <f t="shared" si="31"/>
        <v>0</v>
      </c>
      <c r="L62" s="84">
        <f t="shared" si="32"/>
        <v>-1.0946301292809206</v>
      </c>
      <c r="M62" s="77">
        <f t="shared" si="33"/>
        <v>0.19203766382535203</v>
      </c>
      <c r="N62" s="84">
        <f t="shared" si="34"/>
        <v>-5.3982237309057926</v>
      </c>
      <c r="O62" s="1"/>
      <c r="P62" s="24">
        <f>('Tuition-4Yr'!AF56/'Total E&amp;G-4yr'!AF56)*100</f>
        <v>37.485893207691731</v>
      </c>
      <c r="Q62" s="25">
        <f>('State Appropriations-4Yr'!AF56/'Total E&amp;G-4yr'!AF56)*100</f>
        <v>24.167311049209879</v>
      </c>
      <c r="R62" s="154">
        <f>IF((('Local Appropriations-4Yr'!AF56/'Total E&amp;G-4yr'!AF56)*100)=0,(('Local Appropriations-4Yr'!AF56/'Total E&amp;G-4yr'!AF56)*100),IF((('Local Appropriations-4Yr'!AF56/'Total E&amp;G-4yr'!AF56)*100)&gt;=0.005,(('Local Appropriations-4Yr'!AF56/'Total E&amp;G-4yr'!AF56)*100),"*"))</f>
        <v>0</v>
      </c>
      <c r="S62" s="24">
        <f>('Fed Contracts Grnts-4Yr'!AF56/'Total E&amp;G-4yr'!AF56)*100</f>
        <v>13.051746100523909</v>
      </c>
      <c r="T62" s="26">
        <f>('Other Contract Grnts-4Yr'!AF56/'Total E&amp;G-4yr'!AF56)*100</f>
        <v>6.7737674046940226</v>
      </c>
      <c r="U62" s="24">
        <f>(('All Other E&amp;G-4Yr'!AF56+'Investment Income-4Yr'!AF56)/('Total E&amp;G-4yr'!AF56))*100</f>
        <v>18.521282237880467</v>
      </c>
      <c r="W62" s="103">
        <f t="shared" si="35"/>
        <v>100.00000000000001</v>
      </c>
      <c r="X62" s="104">
        <f t="shared" si="36"/>
        <v>100</v>
      </c>
      <c r="Y62" s="109">
        <f t="shared" si="1"/>
        <v>24.167311049209879</v>
      </c>
      <c r="Z62" s="110">
        <f t="shared" si="2"/>
        <v>26.49546884850265</v>
      </c>
      <c r="AA62" s="109">
        <f t="shared" si="3"/>
        <v>19.825513505217931</v>
      </c>
      <c r="AB62" s="110">
        <f t="shared" si="4"/>
        <v>18.922921039762365</v>
      </c>
      <c r="AC62" s="13">
        <f t="shared" si="5"/>
        <v>100.00000000000001</v>
      </c>
      <c r="AD62" s="13">
        <f t="shared" si="6"/>
        <v>100</v>
      </c>
      <c r="AE62" s="13"/>
    </row>
    <row r="63" spans="1:31">
      <c r="A63" s="71" t="s">
        <v>68</v>
      </c>
      <c r="B63" s="71"/>
      <c r="C63" s="77">
        <f>('Tuition-4Yr'!AK57/'Total E&amp;G-4yr'!AK57)*100</f>
        <v>62.758936229072049</v>
      </c>
      <c r="D63" s="84">
        <f>('State Appropriations-4Yr'!AK57)/('Total E&amp;G-4yr'!AK57)*100</f>
        <v>9.6918807873248891</v>
      </c>
      <c r="E63" s="77">
        <f>IF((('Local Appropriations-4Yr'!AK57/'Total E&amp;G-4yr'!AK57)*100)=0,(('Local Appropriations-4Yr'!AK57/'Total E&amp;G-4yr'!AK57)*100),IF((('Local Appropriations-4Yr'!AK57/'Total E&amp;G-4yr'!AK57)*100)&gt;=0.05,('Local Appropriations-4Yr'!AK57/'Total E&amp;G-4yr'!AK57)*100,"*"))</f>
        <v>0</v>
      </c>
      <c r="F63" s="84">
        <f>('Fed Contracts Grnts-4Yr'!AK57)/('Total E&amp;G-4yr'!AK57)*100</f>
        <v>12.19952104950692</v>
      </c>
      <c r="G63" s="77">
        <f>('Other Contract Grnts-4Yr'!AK57)/('Total E&amp;G-4yr'!AK57)*100</f>
        <v>7.9563525837645424</v>
      </c>
      <c r="H63" s="84">
        <f>('All Other E&amp;G-4Yr'!AK57+'Investment Income-4Yr'!AK57)/('Total E&amp;G-4yr'!AK57)*100</f>
        <v>7.3933093503316103</v>
      </c>
      <c r="I63" s="84">
        <f t="shared" si="29"/>
        <v>1.5931861555108071</v>
      </c>
      <c r="J63" s="84">
        <f t="shared" si="30"/>
        <v>0.40737038832002703</v>
      </c>
      <c r="K63" s="77">
        <f t="shared" si="31"/>
        <v>0</v>
      </c>
      <c r="L63" s="84">
        <f t="shared" si="32"/>
        <v>-1.4143775396209008</v>
      </c>
      <c r="M63" s="77">
        <f t="shared" si="33"/>
        <v>0.10107011279570788</v>
      </c>
      <c r="N63" s="84">
        <f t="shared" si="34"/>
        <v>-0.68724911700563407</v>
      </c>
      <c r="O63" s="1"/>
      <c r="P63" s="24">
        <f>('Tuition-4Yr'!AF57/'Total E&amp;G-4yr'!AF57)*100</f>
        <v>61.165750073561242</v>
      </c>
      <c r="Q63" s="25">
        <f>('State Appropriations-4Yr'!AF57/'Total E&amp;G-4yr'!AF57)*100</f>
        <v>9.2845103990048621</v>
      </c>
      <c r="R63" s="154">
        <f>IF((('Local Appropriations-4Yr'!AF57/'Total E&amp;G-4yr'!AF57)*100)=0,(('Local Appropriations-4Yr'!AF57/'Total E&amp;G-4yr'!AF57)*100),IF((('Local Appropriations-4Yr'!AF57/'Total E&amp;G-4yr'!AF57)*100)&gt;=0.005,(('Local Appropriations-4Yr'!AF57/'Total E&amp;G-4yr'!AF57)*100),"*"))</f>
        <v>0</v>
      </c>
      <c r="S63" s="24">
        <f>('Fed Contracts Grnts-4Yr'!AF57/'Total E&amp;G-4yr'!AF57)*100</f>
        <v>13.613898589127821</v>
      </c>
      <c r="T63" s="26">
        <f>('Other Contract Grnts-4Yr'!AF57/'Total E&amp;G-4yr'!AF57)*100</f>
        <v>7.8552824709688345</v>
      </c>
      <c r="U63" s="24">
        <f>(('All Other E&amp;G-4Yr'!AF57+'Investment Income-4Yr'!AF57)/('Total E&amp;G-4yr'!AF57))*100</f>
        <v>8.0805584673372444</v>
      </c>
      <c r="W63" s="103">
        <f t="shared" si="35"/>
        <v>99.999999999999986</v>
      </c>
      <c r="X63" s="104">
        <f t="shared" si="36"/>
        <v>100.00000000000001</v>
      </c>
      <c r="Y63" s="109">
        <f t="shared" si="1"/>
        <v>9.2845103990048621</v>
      </c>
      <c r="Z63" s="110">
        <f t="shared" si="2"/>
        <v>9.6918807873248891</v>
      </c>
      <c r="AA63" s="109">
        <f t="shared" si="3"/>
        <v>21.469181060096656</v>
      </c>
      <c r="AB63" s="110">
        <f t="shared" si="4"/>
        <v>20.155873633271462</v>
      </c>
      <c r="AC63" s="13">
        <f t="shared" si="5"/>
        <v>100</v>
      </c>
      <c r="AD63" s="13">
        <f t="shared" si="6"/>
        <v>100.00000000000001</v>
      </c>
      <c r="AE63" s="13"/>
    </row>
    <row r="64" spans="1:31">
      <c r="A64" s="70" t="s">
        <v>69</v>
      </c>
      <c r="B64" s="70"/>
      <c r="C64" s="76">
        <f>('Tuition-4Yr'!AK58/'Total E&amp;G-4yr'!AK58)*100</f>
        <v>44.125765443279043</v>
      </c>
      <c r="D64" s="83">
        <f>('State Appropriations-4Yr'!AK58)/('Total E&amp;G-4yr'!AK58)*100</f>
        <v>23.639422720934959</v>
      </c>
      <c r="E64" s="76">
        <f>IF((('Local Appropriations-4Yr'!AK58/'Total E&amp;G-4yr'!AK58)*100)=0,(('Local Appropriations-4Yr'!AK58/'Total E&amp;G-4yr'!AK58)*100),IF((('Local Appropriations-4Yr'!AK58/'Total E&amp;G-4yr'!AK58)*100)&gt;=0.05,('Local Appropriations-4Yr'!AK58/'Total E&amp;G-4yr'!AK58)*100,"*"))</f>
        <v>0</v>
      </c>
      <c r="F64" s="83">
        <f>('Fed Contracts Grnts-4Yr'!AK58)/('Total E&amp;G-4yr'!AK58)*100</f>
        <v>11.868923384503075</v>
      </c>
      <c r="G64" s="76">
        <f>('Other Contract Grnts-4Yr'!AK58)/('Total E&amp;G-4yr'!AK58)*100</f>
        <v>10.741933527115322</v>
      </c>
      <c r="H64" s="83">
        <f>('All Other E&amp;G-4Yr'!AK58+'Investment Income-4Yr'!AK58)/('Total E&amp;G-4yr'!AK58)*100</f>
        <v>9.623954924167597</v>
      </c>
      <c r="I64" s="83">
        <f t="shared" si="29"/>
        <v>2.1165132787635201</v>
      </c>
      <c r="J64" s="83">
        <f t="shared" si="30"/>
        <v>-3.5024420228154014</v>
      </c>
      <c r="K64" s="76">
        <f t="shared" si="31"/>
        <v>0</v>
      </c>
      <c r="L64" s="83">
        <f t="shared" si="32"/>
        <v>0.24940154198205988</v>
      </c>
      <c r="M64" s="76">
        <f t="shared" si="33"/>
        <v>-0.49840589282560366</v>
      </c>
      <c r="N64" s="83">
        <f t="shared" si="34"/>
        <v>1.6349330948954055</v>
      </c>
      <c r="O64" s="1"/>
      <c r="P64" s="24">
        <f>('Tuition-4Yr'!AF58/'Total E&amp;G-4yr'!AF58)*100</f>
        <v>42.009252164515523</v>
      </c>
      <c r="Q64" s="25">
        <f>('State Appropriations-4Yr'!AF58/'Total E&amp;G-4yr'!AF58)*100</f>
        <v>27.141864743750361</v>
      </c>
      <c r="R64" s="154">
        <f>IF((('Local Appropriations-4Yr'!AF58/'Total E&amp;G-4yr'!AF58)*100)=0,(('Local Appropriations-4Yr'!AF58/'Total E&amp;G-4yr'!AF58)*100),IF((('Local Appropriations-4Yr'!AF58/'Total E&amp;G-4yr'!AF58)*100)&gt;=0.005,(('Local Appropriations-4Yr'!AF58/'Total E&amp;G-4yr'!AF58)*100),"*"))</f>
        <v>0</v>
      </c>
      <c r="S64" s="24">
        <f>('Fed Contracts Grnts-4Yr'!AF58/'Total E&amp;G-4yr'!AF58)*100</f>
        <v>11.619521842521015</v>
      </c>
      <c r="T64" s="26">
        <f>('Other Contract Grnts-4Yr'!AF58/'Total E&amp;G-4yr'!AF58)*100</f>
        <v>11.240339419940925</v>
      </c>
      <c r="U64" s="24">
        <f>(('All Other E&amp;G-4Yr'!AF58+'Investment Income-4Yr'!AF58)/('Total E&amp;G-4yr'!AF58))*100</f>
        <v>7.9890218292721915</v>
      </c>
      <c r="W64" s="103">
        <f t="shared" si="35"/>
        <v>100.00000000000001</v>
      </c>
      <c r="X64" s="104">
        <f t="shared" si="36"/>
        <v>100</v>
      </c>
      <c r="Y64" s="109">
        <f t="shared" si="1"/>
        <v>27.141864743750361</v>
      </c>
      <c r="Z64" s="110">
        <f t="shared" si="2"/>
        <v>23.639422720934959</v>
      </c>
      <c r="AA64" s="109">
        <f t="shared" si="3"/>
        <v>22.859861262461941</v>
      </c>
      <c r="AB64" s="110">
        <f t="shared" si="4"/>
        <v>22.610856911618399</v>
      </c>
      <c r="AC64" s="13">
        <f t="shared" si="5"/>
        <v>100.00000000000001</v>
      </c>
      <c r="AD64" s="13">
        <f t="shared" si="6"/>
        <v>100</v>
      </c>
      <c r="AE64" s="13"/>
    </row>
    <row r="65" spans="1:31">
      <c r="A65" s="70" t="s">
        <v>70</v>
      </c>
      <c r="B65" s="70"/>
      <c r="C65" s="76">
        <f>('Tuition-4Yr'!AK59/'Total E&amp;G-4yr'!AK59)*100</f>
        <v>34.720248313359576</v>
      </c>
      <c r="D65" s="83">
        <f>('State Appropriations-4Yr'!AK59)/('Total E&amp;G-4yr'!AK59)*100</f>
        <v>36.314136049832072</v>
      </c>
      <c r="E65" s="76">
        <f>IF((('Local Appropriations-4Yr'!AK59/'Total E&amp;G-4yr'!AK59)*100)=0,(('Local Appropriations-4Yr'!AK59/'Total E&amp;G-4yr'!AK59)*100),IF((('Local Appropriations-4Yr'!AK59/'Total E&amp;G-4yr'!AK59)*100)&gt;=0.05,('Local Appropriations-4Yr'!AK59/'Total E&amp;G-4yr'!AK59)*100,"*"))</f>
        <v>1.2899111963697032</v>
      </c>
      <c r="F65" s="83">
        <f>('Fed Contracts Grnts-4Yr'!AK59)/('Total E&amp;G-4yr'!AK59)*100</f>
        <v>12.184423343365802</v>
      </c>
      <c r="G65" s="76">
        <f>('Other Contract Grnts-4Yr'!AK59)/('Total E&amp;G-4yr'!AK59)*100</f>
        <v>11.974240663473298</v>
      </c>
      <c r="H65" s="83">
        <f>('All Other E&amp;G-4Yr'!AK59+'Investment Income-4Yr'!AK59)/('Total E&amp;G-4yr'!AK59)*100</f>
        <v>3.5170404335995546</v>
      </c>
      <c r="I65" s="83">
        <f t="shared" si="29"/>
        <v>2.7235276360752145</v>
      </c>
      <c r="J65" s="83">
        <f t="shared" si="30"/>
        <v>-0.6435863878396475</v>
      </c>
      <c r="K65" s="76">
        <f t="shared" si="31"/>
        <v>0.22498289093667978</v>
      </c>
      <c r="L65" s="83">
        <f t="shared" si="32"/>
        <v>-1.43417048754789</v>
      </c>
      <c r="M65" s="76">
        <f t="shared" si="33"/>
        <v>-0.55844478040593515</v>
      </c>
      <c r="N65" s="83">
        <f t="shared" si="34"/>
        <v>-0.31230887121839102</v>
      </c>
      <c r="O65" s="1"/>
      <c r="P65" s="24">
        <f>('Tuition-4Yr'!AF59/'Total E&amp;G-4yr'!AF59)*100</f>
        <v>31.996720677284362</v>
      </c>
      <c r="Q65" s="25">
        <f>('State Appropriations-4Yr'!AF59/'Total E&amp;G-4yr'!AF59)*100</f>
        <v>36.95772243767172</v>
      </c>
      <c r="R65" s="154">
        <f>IF((('Local Appropriations-4Yr'!AF59/'Total E&amp;G-4yr'!AF59)*100)=0,(('Local Appropriations-4Yr'!AF59/'Total E&amp;G-4yr'!AF59)*100),IF((('Local Appropriations-4Yr'!AF59/'Total E&amp;G-4yr'!AF59)*100)&gt;=0.005,(('Local Appropriations-4Yr'!AF59/'Total E&amp;G-4yr'!AF59)*100),"*"))</f>
        <v>1.0649283054330234</v>
      </c>
      <c r="S65" s="24">
        <f>('Fed Contracts Grnts-4Yr'!AF59/'Total E&amp;G-4yr'!AF59)*100</f>
        <v>13.618593830913692</v>
      </c>
      <c r="T65" s="26">
        <f>('Other Contract Grnts-4Yr'!AF59/'Total E&amp;G-4yr'!AF59)*100</f>
        <v>12.532685443879233</v>
      </c>
      <c r="U65" s="24">
        <f>(('All Other E&amp;G-4Yr'!AF59+'Investment Income-4Yr'!AF59)/('Total E&amp;G-4yr'!AF59))*100</f>
        <v>3.8293493048179457</v>
      </c>
      <c r="W65" s="103">
        <f t="shared" si="35"/>
        <v>99.999999999999972</v>
      </c>
      <c r="X65" s="104">
        <f t="shared" si="36"/>
        <v>100.00000000000001</v>
      </c>
      <c r="Y65" s="109">
        <f t="shared" si="1"/>
        <v>38.022650743104741</v>
      </c>
      <c r="Z65" s="110">
        <f t="shared" si="2"/>
        <v>37.604047246201773</v>
      </c>
      <c r="AA65" s="109">
        <f t="shared" si="3"/>
        <v>26.151279274792927</v>
      </c>
      <c r="AB65" s="110">
        <f t="shared" si="4"/>
        <v>24.1586640068391</v>
      </c>
      <c r="AC65" s="13">
        <f t="shared" si="5"/>
        <v>99.999999999999986</v>
      </c>
      <c r="AD65" s="13">
        <f t="shared" si="6"/>
        <v>100.00000000000001</v>
      </c>
      <c r="AE65" s="13"/>
    </row>
    <row r="66" spans="1:31">
      <c r="A66" s="70" t="s">
        <v>71</v>
      </c>
      <c r="B66" s="70"/>
      <c r="C66" s="76">
        <f>('Tuition-4Yr'!AK60/'Total E&amp;G-4yr'!AK60)*100</f>
        <v>56.318061599108539</v>
      </c>
      <c r="D66" s="83">
        <f>('State Appropriations-4Yr'!AK60)/('Total E&amp;G-4yr'!AK60)*100</f>
        <v>22.694119390813476</v>
      </c>
      <c r="E66" s="76">
        <f>IF((('Local Appropriations-4Yr'!AK60/'Total E&amp;G-4yr'!AK60)*100)=0,(('Local Appropriations-4Yr'!AK60/'Total E&amp;G-4yr'!AK60)*100),IF((('Local Appropriations-4Yr'!AK60/'Total E&amp;G-4yr'!AK60)*100)&gt;=0.05,('Local Appropriations-4Yr'!AK60/'Total E&amp;G-4yr'!AK60)*100,"*"))</f>
        <v>0</v>
      </c>
      <c r="F66" s="83">
        <f>('Fed Contracts Grnts-4Yr'!AK60)/('Total E&amp;G-4yr'!AK60)*100</f>
        <v>8.8153856999752325</v>
      </c>
      <c r="G66" s="76">
        <f>('Other Contract Grnts-4Yr'!AK60)/('Total E&amp;G-4yr'!AK60)*100</f>
        <v>7.1099158201304773</v>
      </c>
      <c r="H66" s="83">
        <f>('All Other E&amp;G-4Yr'!AK60+'Investment Income-4Yr'!AK60)/('Total E&amp;G-4yr'!AK60)*100</f>
        <v>5.0625174899722616</v>
      </c>
      <c r="I66" s="83">
        <f t="shared" si="29"/>
        <v>-0.87006081617556674</v>
      </c>
      <c r="J66" s="151">
        <f t="shared" si="30"/>
        <v>2.5324356858142494E-2</v>
      </c>
      <c r="K66" s="76">
        <f t="shared" si="31"/>
        <v>0</v>
      </c>
      <c r="L66" s="83">
        <f t="shared" si="32"/>
        <v>-1.0639541466318363</v>
      </c>
      <c r="M66" s="76">
        <f t="shared" si="33"/>
        <v>-0.91278646270720554</v>
      </c>
      <c r="N66" s="83">
        <f t="shared" si="34"/>
        <v>2.8214770686564634</v>
      </c>
      <c r="O66" s="1"/>
      <c r="P66" s="24">
        <f>('Tuition-4Yr'!AF60/'Total E&amp;G-4yr'!AF60)*100</f>
        <v>57.188122415284106</v>
      </c>
      <c r="Q66" s="25">
        <f>('State Appropriations-4Yr'!AF60/'Total E&amp;G-4yr'!AF60)*100</f>
        <v>22.668795033955334</v>
      </c>
      <c r="R66" s="154">
        <f>IF((('Local Appropriations-4Yr'!AF60/'Total E&amp;G-4yr'!AF60)*100)=0,(('Local Appropriations-4Yr'!AF60/'Total E&amp;G-4yr'!AF60)*100),IF((('Local Appropriations-4Yr'!AF60/'Total E&amp;G-4yr'!AF60)*100)&gt;=0.005,(('Local Appropriations-4Yr'!AF60/'Total E&amp;G-4yr'!AF60)*100),"*"))</f>
        <v>0</v>
      </c>
      <c r="S66" s="24">
        <f>('Fed Contracts Grnts-4Yr'!AF60/'Total E&amp;G-4yr'!AF60)*100</f>
        <v>9.8793398466070688</v>
      </c>
      <c r="T66" s="26">
        <f>('Other Contract Grnts-4Yr'!AF60/'Total E&amp;G-4yr'!AF60)*100</f>
        <v>8.0227022828376828</v>
      </c>
      <c r="U66" s="24">
        <f>(('All Other E&amp;G-4Yr'!AF60+'Investment Income-4Yr'!AF60)/('Total E&amp;G-4yr'!AF60))*100</f>
        <v>2.2410404213157982</v>
      </c>
      <c r="W66" s="103">
        <f t="shared" si="35"/>
        <v>99.999999999999986</v>
      </c>
      <c r="X66" s="104">
        <f t="shared" si="36"/>
        <v>100</v>
      </c>
      <c r="Y66" s="109">
        <f t="shared" si="1"/>
        <v>22.668795033955334</v>
      </c>
      <c r="Z66" s="110">
        <f t="shared" si="2"/>
        <v>22.694119390813476</v>
      </c>
      <c r="AA66" s="109">
        <f t="shared" si="3"/>
        <v>17.902042129444752</v>
      </c>
      <c r="AB66" s="110">
        <f t="shared" si="4"/>
        <v>15.925301520105709</v>
      </c>
      <c r="AC66" s="13">
        <f t="shared" si="5"/>
        <v>100</v>
      </c>
      <c r="AD66" s="13">
        <f t="shared" si="6"/>
        <v>100</v>
      </c>
      <c r="AE66" s="13"/>
    </row>
    <row r="67" spans="1:31">
      <c r="A67" s="70" t="s">
        <v>72</v>
      </c>
      <c r="B67" s="70"/>
      <c r="C67" s="76">
        <f>('Tuition-4Yr'!AK61/'Total E&amp;G-4yr'!AK61)*100</f>
        <v>60.765963179556671</v>
      </c>
      <c r="D67" s="83">
        <f>('State Appropriations-4Yr'!AK61)/('Total E&amp;G-4yr'!AK61)*100</f>
        <v>17.706535960301338</v>
      </c>
      <c r="E67" s="76">
        <f>IF((('Local Appropriations-4Yr'!AK61/'Total E&amp;G-4yr'!AK61)*100)=0,(('Local Appropriations-4Yr'!AK61/'Total E&amp;G-4yr'!AK61)*100),IF((('Local Appropriations-4Yr'!AK61/'Total E&amp;G-4yr'!AK61)*100)&gt;=0.05,('Local Appropriations-4Yr'!AK61/'Total E&amp;G-4yr'!AK61)*100,"*"))</f>
        <v>0</v>
      </c>
      <c r="F67" s="83">
        <f>('Fed Contracts Grnts-4Yr'!AK61)/('Total E&amp;G-4yr'!AK61)*100</f>
        <v>15.137140634360174</v>
      </c>
      <c r="G67" s="76">
        <f>('Other Contract Grnts-4Yr'!AK61)/('Total E&amp;G-4yr'!AK61)*100</f>
        <v>5.2339579075700176</v>
      </c>
      <c r="H67" s="83">
        <f>('All Other E&amp;G-4Yr'!AK61+'Investment Income-4Yr'!AK61)/('Total E&amp;G-4yr'!AK61)*100</f>
        <v>1.1564023182118066</v>
      </c>
      <c r="I67" s="83">
        <f t="shared" si="29"/>
        <v>2.6223531137025802</v>
      </c>
      <c r="J67" s="83">
        <f t="shared" si="30"/>
        <v>-0.48516445018194077</v>
      </c>
      <c r="K67" s="76">
        <f t="shared" si="31"/>
        <v>0</v>
      </c>
      <c r="L67" s="83">
        <f t="shared" si="32"/>
        <v>-2.4887990407194902</v>
      </c>
      <c r="M67" s="76">
        <f t="shared" si="33"/>
        <v>-0.60502275812115602</v>
      </c>
      <c r="N67" s="83">
        <f t="shared" si="34"/>
        <v>0.95663313532002259</v>
      </c>
      <c r="O67" s="1"/>
      <c r="P67" s="24">
        <f>('Tuition-4Yr'!AF61/'Total E&amp;G-4yr'!AF61)*100</f>
        <v>58.143610065854091</v>
      </c>
      <c r="Q67" s="25">
        <f>('State Appropriations-4Yr'!AF61/'Total E&amp;G-4yr'!AF61)*100</f>
        <v>18.191700410483278</v>
      </c>
      <c r="R67" s="154">
        <f>IF((('Local Appropriations-4Yr'!AF61/'Total E&amp;G-4yr'!AF61)*100)=0,(('Local Appropriations-4Yr'!AF61/'Total E&amp;G-4yr'!AF61)*100),IF((('Local Appropriations-4Yr'!AF61/'Total E&amp;G-4yr'!AF61)*100)&gt;=0.005,(('Local Appropriations-4Yr'!AF61/'Total E&amp;G-4yr'!AF61)*100),"*"))</f>
        <v>0</v>
      </c>
      <c r="S67" s="24">
        <f>('Fed Contracts Grnts-4Yr'!AF61/'Total E&amp;G-4yr'!AF61)*100</f>
        <v>17.625939675079664</v>
      </c>
      <c r="T67" s="26">
        <f>('Other Contract Grnts-4Yr'!AF61/'Total E&amp;G-4yr'!AF61)*100</f>
        <v>5.8389806656911736</v>
      </c>
      <c r="U67" s="24">
        <f>(('All Other E&amp;G-4Yr'!AF61+'Investment Income-4Yr'!AF61)/('Total E&amp;G-4yr'!AF61))*100</f>
        <v>0.19976918289178405</v>
      </c>
      <c r="W67" s="103">
        <f t="shared" si="35"/>
        <v>99.999999999999986</v>
      </c>
      <c r="X67" s="104">
        <f t="shared" si="36"/>
        <v>100</v>
      </c>
      <c r="Y67" s="109">
        <f t="shared" si="1"/>
        <v>18.191700410483278</v>
      </c>
      <c r="Z67" s="110">
        <f t="shared" si="2"/>
        <v>17.706535960301338</v>
      </c>
      <c r="AA67" s="109">
        <f t="shared" si="3"/>
        <v>23.464920340770838</v>
      </c>
      <c r="AB67" s="110">
        <f t="shared" si="4"/>
        <v>20.371098541930191</v>
      </c>
      <c r="AC67" s="13">
        <f t="shared" si="5"/>
        <v>100</v>
      </c>
      <c r="AD67" s="13">
        <f t="shared" si="6"/>
        <v>100</v>
      </c>
      <c r="AE67" s="13"/>
    </row>
    <row r="68" spans="1:31">
      <c r="A68" s="69" t="s">
        <v>73</v>
      </c>
      <c r="B68" s="69"/>
      <c r="C68" s="115">
        <f>('Tuition-4Yr'!AK62/'Total E&amp;G-4yr'!AK62)*100</f>
        <v>60.325279645132404</v>
      </c>
      <c r="D68" s="82">
        <f>('State Appropriations-4Yr'!AK62)/('Total E&amp;G-4yr'!AK62)*100</f>
        <v>6.8188854627972209</v>
      </c>
      <c r="E68" s="115">
        <f>IF((('Local Appropriations-4Yr'!AK62/'Total E&amp;G-4yr'!AK62)*100)=0,(('Local Appropriations-4Yr'!AK62/'Total E&amp;G-4yr'!AK62)*100),IF((('Local Appropriations-4Yr'!AK62/'Total E&amp;G-4yr'!AK62)*100)&gt;=0.05,('Local Appropriations-4Yr'!AK62/'Total E&amp;G-4yr'!AK62)*100,"*"))</f>
        <v>0</v>
      </c>
      <c r="F68" s="82">
        <f>('Fed Contracts Grnts-4Yr'!AK62)/('Total E&amp;G-4yr'!AK62)*100</f>
        <v>14.902619584394664</v>
      </c>
      <c r="G68" s="115">
        <f>('Other Contract Grnts-4Yr'!AK62)/('Total E&amp;G-4yr'!AK62)*100</f>
        <v>11.354170968933392</v>
      </c>
      <c r="H68" s="117">
        <f>('All Other E&amp;G-4Yr'!AK62+'Investment Income-4Yr'!AK62)/('Total E&amp;G-4yr'!AK62)*100</f>
        <v>6.5990443387423099</v>
      </c>
      <c r="I68" s="82">
        <f t="shared" si="29"/>
        <v>6.5439865152147902</v>
      </c>
      <c r="J68" s="82">
        <f t="shared" si="30"/>
        <v>-0.71621943534519872</v>
      </c>
      <c r="K68" s="78">
        <f t="shared" si="31"/>
        <v>0</v>
      </c>
      <c r="L68" s="82">
        <f t="shared" si="32"/>
        <v>-2.932289635694648</v>
      </c>
      <c r="M68" s="78">
        <f t="shared" si="33"/>
        <v>1.1113292615442774</v>
      </c>
      <c r="N68" s="82">
        <f t="shared" si="34"/>
        <v>-4.0068067057192316</v>
      </c>
      <c r="O68" s="1"/>
      <c r="P68" s="24">
        <f>('Tuition-4Yr'!AF62/'Total E&amp;G-4yr'!AF62)*100</f>
        <v>53.781293129917614</v>
      </c>
      <c r="Q68" s="25">
        <f>('State Appropriations-4Yr'!AF62/'Total E&amp;G-4yr'!AF62)*100</f>
        <v>7.5351048981424196</v>
      </c>
      <c r="R68" s="154">
        <f>IF((('Local Appropriations-4Yr'!AF62/'Total E&amp;G-4yr'!AF62)*100)=0,(('Local Appropriations-4Yr'!AF62/'Total E&amp;G-4yr'!AF62)*100),IF((('Local Appropriations-4Yr'!AF62/'Total E&amp;G-4yr'!AF62)*100)&gt;=0.005,(('Local Appropriations-4Yr'!AF62/'Total E&amp;G-4yr'!AF62)*100),"*"))</f>
        <v>0</v>
      </c>
      <c r="S68" s="24">
        <f>('Fed Contracts Grnts-4Yr'!AF62/'Total E&amp;G-4yr'!AF62)*100</f>
        <v>17.834909220089312</v>
      </c>
      <c r="T68" s="26">
        <f>('Other Contract Grnts-4Yr'!AF62/'Total E&amp;G-4yr'!AF62)*100</f>
        <v>10.242841707389115</v>
      </c>
      <c r="U68" s="24">
        <f>(('All Other E&amp;G-4Yr'!AF62+'Investment Income-4Yr'!AF62)/('Total E&amp;G-4yr'!AF62))*100</f>
        <v>10.605851044461541</v>
      </c>
      <c r="W68" s="103">
        <f t="shared" si="35"/>
        <v>100.00000000000001</v>
      </c>
      <c r="X68" s="104">
        <f t="shared" si="36"/>
        <v>99.999999999999972</v>
      </c>
      <c r="Y68" s="109">
        <f t="shared" si="1"/>
        <v>7.5351048981424196</v>
      </c>
      <c r="Z68" s="110">
        <f t="shared" si="2"/>
        <v>6.8188854627972209</v>
      </c>
      <c r="AA68" s="109">
        <f t="shared" si="3"/>
        <v>28.077750927478426</v>
      </c>
      <c r="AB68" s="110">
        <f t="shared" si="4"/>
        <v>26.256790553328056</v>
      </c>
      <c r="AC68" s="13">
        <f t="shared" si="5"/>
        <v>100</v>
      </c>
      <c r="AD68" s="13">
        <f t="shared" si="6"/>
        <v>100</v>
      </c>
      <c r="AE68" s="13"/>
    </row>
    <row r="69" spans="1:31">
      <c r="A69" s="53" t="s">
        <v>74</v>
      </c>
      <c r="B69" s="69"/>
      <c r="C69" s="78">
        <f>('Tuition-4Yr'!AK63/'Total E&amp;G-4yr'!AK63)*100</f>
        <v>29.813244932566562</v>
      </c>
      <c r="D69" s="82">
        <f>('State Appropriations-4Yr'!AK63)/('Total E&amp;G-4yr'!AK63)*100</f>
        <v>51.78153793187483</v>
      </c>
      <c r="E69" s="115">
        <f>IF((('Local Appropriations-4Yr'!AK63/'Total E&amp;G-4yr'!AK63)*100)=0,(('Local Appropriations-4Yr'!AK63/'Total E&amp;G-4yr'!AK63)*100),IF((('Local Appropriations-4Yr'!AK63/'Total E&amp;G-4yr'!AK63)*100)&gt;=0.05,('Local Appropriations-4Yr'!AK63/'Total E&amp;G-4yr'!AK63)*100,"*"))</f>
        <v>0</v>
      </c>
      <c r="F69" s="82">
        <f>('Fed Contracts Grnts-4Yr'!AK63)/('Total E&amp;G-4yr'!AK63)*100</f>
        <v>12.094842230518733</v>
      </c>
      <c r="G69" s="115">
        <f>('Other Contract Grnts-4Yr'!AK63)/('Total E&amp;G-4yr'!AK63)*100</f>
        <v>4.7391024966146675</v>
      </c>
      <c r="H69" s="117">
        <f>('All Other E&amp;G-4Yr'!AK63+'Investment Income-4Yr'!AK63)/('Total E&amp;G-4yr'!AK63)*100</f>
        <v>1.5712724084252074</v>
      </c>
      <c r="I69" s="82">
        <f t="shared" si="29"/>
        <v>6.4966582605140104</v>
      </c>
      <c r="J69" s="82">
        <f t="shared" si="30"/>
        <v>3.3856321308394683</v>
      </c>
      <c r="K69" s="78">
        <f t="shared" si="31"/>
        <v>0</v>
      </c>
      <c r="L69" s="82">
        <f t="shared" si="32"/>
        <v>-4.38265666909966</v>
      </c>
      <c r="M69" s="78">
        <f t="shared" si="33"/>
        <v>-1.5143784893266741</v>
      </c>
      <c r="N69" s="82">
        <f t="shared" si="34"/>
        <v>-3.9852552329271504</v>
      </c>
      <c r="O69" s="1"/>
      <c r="P69" s="24">
        <f>('Tuition-4Yr'!AF63/'Total E&amp;G-4yr'!AF63)*100</f>
        <v>23.316586672052551</v>
      </c>
      <c r="Q69" s="25">
        <f>('State Appropriations-4Yr'!AF63/'Total E&amp;G-4yr'!AF63)*100</f>
        <v>48.395905801035362</v>
      </c>
      <c r="R69" s="154">
        <f>IF((('Local Appropriations-4Yr'!AF63/'Total E&amp;G-4yr'!AF63)*100)=0,(('Local Appropriations-4Yr'!AF63/'Total E&amp;G-4yr'!AF63)*100),IF((('Local Appropriations-4Yr'!AF63/'Total E&amp;G-4yr'!AF63)*100)&gt;=0.005,(('Local Appropriations-4Yr'!AF63/'Total E&amp;G-4yr'!AF63)*100),"*"))</f>
        <v>0</v>
      </c>
      <c r="S69" s="24">
        <f>('Fed Contracts Grnts-4Yr'!AF63/'Total E&amp;G-4yr'!AF63)*100</f>
        <v>16.477498899618393</v>
      </c>
      <c r="T69" s="26">
        <f>('Other Contract Grnts-4Yr'!AF63/'Total E&amp;G-4yr'!AF63)*100</f>
        <v>6.2534809859413416</v>
      </c>
      <c r="U69" s="24">
        <f>(('All Other E&amp;G-4Yr'!AF63+'Investment Income-4Yr'!AF63)/('Total E&amp;G-4yr'!AF63))*100</f>
        <v>5.5565276413523579</v>
      </c>
      <c r="W69" s="105">
        <f t="shared" si="35"/>
        <v>100</v>
      </c>
      <c r="X69" s="106">
        <f t="shared" si="36"/>
        <v>99.999999999999986</v>
      </c>
      <c r="Y69" s="111">
        <f t="shared" si="1"/>
        <v>48.395905801035362</v>
      </c>
      <c r="Z69" s="112">
        <f t="shared" si="2"/>
        <v>51.78153793187483</v>
      </c>
      <c r="AA69" s="111">
        <f t="shared" si="3"/>
        <v>22.730979885559734</v>
      </c>
      <c r="AB69" s="112">
        <f t="shared" si="4"/>
        <v>16.8339447271334</v>
      </c>
      <c r="AC69" s="13">
        <f t="shared" si="5"/>
        <v>100.00000000000001</v>
      </c>
      <c r="AD69" s="13">
        <f t="shared" si="6"/>
        <v>99.999999999999986</v>
      </c>
      <c r="AE69" s="13"/>
    </row>
    <row r="70" spans="1:31" ht="18" customHeight="1">
      <c r="A70" s="87"/>
      <c r="B70" s="35"/>
      <c r="C70" s="88"/>
      <c r="D70" s="87"/>
      <c r="E70" s="141"/>
      <c r="F70" s="87"/>
      <c r="G70" s="87"/>
      <c r="H70" s="87"/>
      <c r="K70" s="1"/>
      <c r="L70" s="1"/>
      <c r="M70" s="1"/>
      <c r="N70" s="1"/>
      <c r="O70" s="1"/>
      <c r="P70" s="1"/>
      <c r="Q70" s="1"/>
      <c r="R70" s="1"/>
      <c r="S70" s="1"/>
      <c r="T70" s="1"/>
    </row>
    <row r="71" spans="1:31" ht="125.25" customHeight="1">
      <c r="A71" s="160" t="s">
        <v>75</v>
      </c>
      <c r="B71" s="161"/>
      <c r="C71" s="161"/>
      <c r="D71" s="161"/>
      <c r="E71" s="161"/>
      <c r="F71" s="161"/>
      <c r="G71" s="161"/>
      <c r="H71" s="161"/>
      <c r="I71" s="41"/>
      <c r="J71" s="41"/>
      <c r="K71" s="41"/>
      <c r="L71" s="41"/>
      <c r="M71" s="41"/>
      <c r="N71" s="41"/>
      <c r="O71" s="1"/>
      <c r="P71" s="1"/>
      <c r="Q71" s="1"/>
      <c r="R71" s="1"/>
      <c r="S71" s="1"/>
      <c r="T71" s="1"/>
    </row>
    <row r="72" spans="1:31" ht="37.5" customHeight="1">
      <c r="A72" s="160" t="s">
        <v>76</v>
      </c>
      <c r="B72" s="161"/>
      <c r="C72" s="161"/>
      <c r="D72" s="161"/>
      <c r="E72" s="161"/>
      <c r="F72" s="161"/>
      <c r="G72" s="161"/>
      <c r="H72" s="161"/>
      <c r="O72" s="33"/>
    </row>
    <row r="73" spans="1:31" ht="51" customHeight="1">
      <c r="A73" s="160" t="s">
        <v>77</v>
      </c>
      <c r="B73" s="161"/>
      <c r="C73" s="161"/>
      <c r="D73" s="161"/>
      <c r="E73" s="161"/>
      <c r="F73" s="161"/>
      <c r="G73" s="161"/>
      <c r="H73" s="161"/>
      <c r="N73" s="93"/>
    </row>
    <row r="74" spans="1:31" ht="12.75" customHeight="1">
      <c r="A74" s="162" t="s">
        <v>78</v>
      </c>
      <c r="B74" s="163"/>
      <c r="C74" s="163"/>
      <c r="D74" s="163"/>
      <c r="E74" s="163"/>
      <c r="F74" s="163"/>
      <c r="G74" s="163"/>
      <c r="H74" s="163"/>
      <c r="I74" s="163"/>
      <c r="J74" s="163"/>
      <c r="K74" s="163"/>
      <c r="L74" s="163"/>
      <c r="M74" s="163"/>
      <c r="N74" s="163"/>
    </row>
    <row r="75" spans="1:31">
      <c r="N75" s="121" t="s">
        <v>79</v>
      </c>
    </row>
    <row r="77" spans="1:31">
      <c r="A77" s="32"/>
      <c r="B77" s="32"/>
    </row>
  </sheetData>
  <mergeCells count="6">
    <mergeCell ref="C8:C9"/>
    <mergeCell ref="I8:I9"/>
    <mergeCell ref="A73:H73"/>
    <mergeCell ref="A71:H71"/>
    <mergeCell ref="A72:H72"/>
    <mergeCell ref="A74:N74"/>
  </mergeCells>
  <phoneticPr fontId="8" type="noConversion"/>
  <pageMargins left="1" right="1" top="1" bottom="0.55000000000000004" header="0.5" footer="0.4"/>
  <pageSetup scale="58" orientation="portrait" verticalDpi="300" r:id="rId1"/>
  <headerFooter alignWithMargins="0">
    <oddFooter>&amp;L&amp;"Arial,Regular"SREB Fact Book &amp;R&amp;"Arial,Regular"&amp;D</oddFooter>
  </headerFooter>
  <colBreaks count="1" manualBreakCount="1">
    <brk id="16" max="34"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tabColor indexed="62"/>
  </sheetPr>
  <dimension ref="A1:HB92"/>
  <sheetViews>
    <sheetView showZeros="0" zoomScaleNormal="100" workbookViewId="0">
      <pane xSplit="1" ySplit="3" topLeftCell="AB4" activePane="bottomRight" state="frozen"/>
      <selection pane="topRight" activeCell="M5" sqref="M5:M6"/>
      <selection pane="bottomLeft" activeCell="M5" sqref="M5:M6"/>
      <selection pane="bottomRight" activeCell="A2" sqref="A2"/>
    </sheetView>
  </sheetViews>
  <sheetFormatPr defaultColWidth="9.7109375" defaultRowHeight="12.75"/>
  <cols>
    <col min="1" max="1" width="19.5703125" style="1" bestFit="1" customWidth="1"/>
    <col min="2" max="2" width="10.7109375" style="1" customWidth="1"/>
    <col min="3" max="3" width="8.85546875" style="1" customWidth="1"/>
    <col min="4" max="4" width="7.85546875" style="1" customWidth="1"/>
    <col min="5" max="22" width="13.85546875" style="1" customWidth="1"/>
    <col min="23" max="29" width="13.85546875" style="10" customWidth="1"/>
    <col min="30" max="31" width="9.7109375" style="1" bestFit="1" customWidth="1"/>
    <col min="32"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39"/>
      <c r="C1" s="39"/>
      <c r="D1" s="39"/>
      <c r="E1" s="11"/>
      <c r="F1" s="11"/>
      <c r="G1" s="11"/>
      <c r="H1" s="11"/>
      <c r="I1" s="64"/>
      <c r="J1" s="64"/>
      <c r="K1" s="11"/>
      <c r="L1" s="11"/>
      <c r="AM1" s="1">
        <v>1000</v>
      </c>
    </row>
    <row r="2" spans="1:39">
      <c r="A2" s="1" t="s">
        <v>156</v>
      </c>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53">
        <f>211931+90528</f>
        <v>302459</v>
      </c>
      <c r="C4" s="53">
        <f>232992+96997</f>
        <v>329989</v>
      </c>
      <c r="D4" s="53">
        <f>280429+104437</f>
        <v>384866</v>
      </c>
      <c r="E4" s="53"/>
      <c r="F4" s="53"/>
      <c r="G4" s="53"/>
      <c r="H4" s="53"/>
      <c r="I4" s="53">
        <v>415884.60600000003</v>
      </c>
      <c r="J4" s="61">
        <f>+J5+J23+J38+J52+J63</f>
        <v>486196.58700000006</v>
      </c>
      <c r="K4" s="53">
        <v>652054.33700000006</v>
      </c>
      <c r="L4" s="53">
        <v>621737.46699999995</v>
      </c>
      <c r="M4" s="61">
        <f>+M5+M23+M38+M52+M63</f>
        <v>559327.06200000003</v>
      </c>
      <c r="N4" s="65">
        <v>697490.99100000004</v>
      </c>
      <c r="O4" s="61">
        <f>+O5+O23+O38+O52+O63</f>
        <v>766693.32297999994</v>
      </c>
      <c r="P4" s="53"/>
      <c r="Q4" s="53"/>
      <c r="R4" s="61">
        <f t="shared" ref="R4:AA4" si="0">+R5+R23+R38+R52+R63</f>
        <v>1078957.203</v>
      </c>
      <c r="S4" s="61">
        <f t="shared" si="0"/>
        <v>1195918.3870000001</v>
      </c>
      <c r="T4" s="66">
        <f t="shared" si="0"/>
        <v>914564.77399999986</v>
      </c>
      <c r="U4" s="61">
        <f t="shared" si="0"/>
        <v>2791197.7929999996</v>
      </c>
      <c r="V4" s="61">
        <f t="shared" si="0"/>
        <v>4567206.1560000004</v>
      </c>
      <c r="W4" s="61">
        <f t="shared" si="0"/>
        <v>5094989.051</v>
      </c>
      <c r="X4" s="61">
        <f t="shared" si="0"/>
        <v>5849523.5909999991</v>
      </c>
      <c r="Y4" s="61">
        <f t="shared" si="0"/>
        <v>9746433.8840000015</v>
      </c>
      <c r="Z4" s="61">
        <f t="shared" si="0"/>
        <v>2469668.4760000003</v>
      </c>
      <c r="AA4" s="61">
        <f t="shared" si="0"/>
        <v>-6616273.068</v>
      </c>
      <c r="AB4" s="61">
        <f t="shared" ref="AB4:AC4" si="1">+AB5+AB23+AB38+AB52+AB63</f>
        <v>6324915.7210000008</v>
      </c>
      <c r="AC4" s="61">
        <f t="shared" si="1"/>
        <v>8918239</v>
      </c>
      <c r="AD4" s="61">
        <f t="shared" ref="AD4:AE4" si="2">+AD5+AD23+AD38+AD52+AD63</f>
        <v>2495802.469</v>
      </c>
      <c r="AE4" s="61">
        <f t="shared" si="2"/>
        <v>6274044.2750000013</v>
      </c>
      <c r="AF4" s="61">
        <f t="shared" ref="AF4:AG4" si="3">+AF5+AF23+AF38+AF52+AF63</f>
        <v>9928203.0569999982</v>
      </c>
      <c r="AG4" s="61">
        <f t="shared" si="3"/>
        <v>2978508.34</v>
      </c>
      <c r="AH4" s="61">
        <f t="shared" ref="AH4:AI4" si="4">+AH5+AH23+AH38+AH52+AH63</f>
        <v>1785420.5020000001</v>
      </c>
      <c r="AI4" s="61">
        <f t="shared" si="4"/>
        <v>9638851.8929999992</v>
      </c>
      <c r="AJ4" s="61">
        <f t="shared" ref="AJ4:AK4" si="5">+AJ5+AJ23+AJ38+AJ52+AJ63</f>
        <v>0</v>
      </c>
      <c r="AK4" s="61">
        <f t="shared" si="5"/>
        <v>8284273.7479999997</v>
      </c>
    </row>
    <row r="5" spans="1:39" ht="12.75" customHeight="1">
      <c r="A5" s="1" t="s">
        <v>20</v>
      </c>
      <c r="B5" s="58">
        <f>SUM(B7:B22)</f>
        <v>94685</v>
      </c>
      <c r="C5" s="58">
        <f>SUM(C7:C22)</f>
        <v>99134</v>
      </c>
      <c r="D5" s="58">
        <f>SUM(D7:D22)</f>
        <v>139610</v>
      </c>
      <c r="I5" s="58">
        <f t="shared" ref="I5:L5" si="6">SUM(I7:I22)</f>
        <v>154627.19700000001</v>
      </c>
      <c r="J5" s="58">
        <f t="shared" si="6"/>
        <v>245335.747</v>
      </c>
      <c r="K5" s="58">
        <f t="shared" si="6"/>
        <v>264685.52899999998</v>
      </c>
      <c r="L5" s="58">
        <f t="shared" si="6"/>
        <v>238594.41700000002</v>
      </c>
      <c r="M5" s="58">
        <f t="shared" ref="M5" si="7">SUM(M7:M22)</f>
        <v>268387.71100000001</v>
      </c>
      <c r="O5" s="58">
        <f t="shared" ref="O5" si="8">SUM(O7:O22)</f>
        <v>324451.54599999997</v>
      </c>
      <c r="R5" s="58">
        <f t="shared" ref="R5:AA5" si="9">SUM(R7:R22)</f>
        <v>511780.82999999996</v>
      </c>
      <c r="S5" s="58">
        <f t="shared" si="9"/>
        <v>536979.304</v>
      </c>
      <c r="T5" s="67">
        <f t="shared" si="9"/>
        <v>252269.03599999999</v>
      </c>
      <c r="U5" s="58">
        <f t="shared" si="9"/>
        <v>1450153.7429999998</v>
      </c>
      <c r="V5" s="58">
        <f t="shared" si="9"/>
        <v>1908047.716</v>
      </c>
      <c r="W5" s="58">
        <f t="shared" si="9"/>
        <v>2299614.3650000002</v>
      </c>
      <c r="X5" s="58">
        <f t="shared" si="9"/>
        <v>2467093.6709999996</v>
      </c>
      <c r="Y5" s="58">
        <f t="shared" si="9"/>
        <v>4077755.7829999998</v>
      </c>
      <c r="Z5" s="58">
        <f t="shared" si="9"/>
        <v>909166.16499999992</v>
      </c>
      <c r="AA5" s="58">
        <f t="shared" si="9"/>
        <v>-2421437.6579999998</v>
      </c>
      <c r="AB5" s="58">
        <f t="shared" ref="AB5:AC5" si="10">SUM(AB7:AB22)</f>
        <v>2629227.693</v>
      </c>
      <c r="AC5" s="58">
        <f t="shared" si="10"/>
        <v>3378523</v>
      </c>
      <c r="AD5" s="58">
        <f t="shared" ref="AD5:AE5" si="11">SUM(AD7:AD22)</f>
        <v>1272927.348</v>
      </c>
      <c r="AE5" s="58">
        <f t="shared" si="11"/>
        <v>2393249.122</v>
      </c>
      <c r="AF5" s="58">
        <f t="shared" ref="AF5:AG5" si="12">SUM(AF7:AF22)</f>
        <v>3776008.4820000003</v>
      </c>
      <c r="AG5" s="58">
        <f t="shared" si="12"/>
        <v>1011682.64</v>
      </c>
      <c r="AH5" s="58">
        <f t="shared" ref="AH5:AI5" si="13">SUM(AH7:AH22)</f>
        <v>949984.87400000007</v>
      </c>
      <c r="AI5" s="58">
        <f t="shared" si="13"/>
        <v>3884641.4269999997</v>
      </c>
      <c r="AJ5" s="58">
        <f t="shared" ref="AJ5:AK5" si="14">SUM(AJ7:AJ22)</f>
        <v>0</v>
      </c>
      <c r="AK5" s="58">
        <f t="shared" si="14"/>
        <v>3148811.1729999995</v>
      </c>
    </row>
    <row r="6" spans="1:39" ht="12.75" customHeight="1">
      <c r="A6" s="6" t="s">
        <v>94</v>
      </c>
      <c r="B6" s="6"/>
      <c r="C6" s="6"/>
      <c r="D6" s="6"/>
      <c r="I6" s="157"/>
      <c r="J6" s="157"/>
      <c r="R6" s="20"/>
      <c r="T6" s="51"/>
      <c r="AA6" s="10">
        <v>0</v>
      </c>
    </row>
    <row r="7" spans="1:39" ht="12.75" customHeight="1">
      <c r="A7" s="1" t="s">
        <v>21</v>
      </c>
      <c r="B7" s="1">
        <f>4238+2661</f>
        <v>6899</v>
      </c>
      <c r="C7" s="1">
        <f>4289+1966</f>
        <v>6255</v>
      </c>
      <c r="D7" s="1">
        <f>4252+2066</f>
        <v>6318</v>
      </c>
      <c r="I7" s="157">
        <v>13692.001</v>
      </c>
      <c r="J7" s="157">
        <v>14467.376</v>
      </c>
      <c r="K7" s="1">
        <v>17381.906999999999</v>
      </c>
      <c r="L7" s="1">
        <v>18644.71</v>
      </c>
      <c r="M7" s="1">
        <v>20007.667000000001</v>
      </c>
      <c r="N7" s="1">
        <v>22226.282999999999</v>
      </c>
      <c r="O7" s="1">
        <v>21818.612000000001</v>
      </c>
      <c r="R7" s="27">
        <v>31623.611000000001</v>
      </c>
      <c r="S7" s="1">
        <v>29820.521000000001</v>
      </c>
      <c r="T7" s="51">
        <v>-14863.278</v>
      </c>
      <c r="U7" s="1">
        <v>247213.39</v>
      </c>
      <c r="V7" s="1">
        <v>202720.73</v>
      </c>
      <c r="W7" s="157">
        <v>208784.649</v>
      </c>
      <c r="X7" s="157">
        <v>200630.75599999999</v>
      </c>
      <c r="Y7" s="157">
        <v>365202.902</v>
      </c>
      <c r="Z7" s="157">
        <v>-215661.46</v>
      </c>
      <c r="AA7" s="157">
        <v>69092.111000000004</v>
      </c>
      <c r="AB7" s="157">
        <v>248191.701</v>
      </c>
      <c r="AC7" s="157">
        <v>10631</v>
      </c>
      <c r="AD7" s="1">
        <v>279836.299</v>
      </c>
      <c r="AE7" s="1">
        <v>204010.95199999999</v>
      </c>
      <c r="AF7" s="1">
        <v>201073.81099999999</v>
      </c>
      <c r="AG7" s="1">
        <v>-82415.051000000007</v>
      </c>
      <c r="AH7" s="1">
        <v>238041.56899999999</v>
      </c>
      <c r="AI7" s="1">
        <v>401161.74300000002</v>
      </c>
      <c r="AK7" s="1">
        <v>119207.783</v>
      </c>
    </row>
    <row r="8" spans="1:39" ht="12.75" customHeight="1">
      <c r="A8" s="1" t="s">
        <v>22</v>
      </c>
      <c r="B8" s="1">
        <f>227+443</f>
        <v>670</v>
      </c>
      <c r="C8" s="1">
        <f>428+290</f>
        <v>718</v>
      </c>
      <c r="D8" s="1">
        <f>552+1347</f>
        <v>1899</v>
      </c>
      <c r="I8" s="157">
        <v>1805.5450000000001</v>
      </c>
      <c r="J8" s="157">
        <v>1700.49</v>
      </c>
      <c r="K8" s="1">
        <v>1328.992</v>
      </c>
      <c r="L8" s="1">
        <v>1931.165</v>
      </c>
      <c r="M8" s="1">
        <v>1495.9870000000001</v>
      </c>
      <c r="N8" s="1">
        <v>1774.4929999999999</v>
      </c>
      <c r="O8" s="1">
        <v>1619.5150000000001</v>
      </c>
      <c r="R8" s="27">
        <v>4951.3860000000004</v>
      </c>
      <c r="S8" s="1">
        <v>6465.027</v>
      </c>
      <c r="T8" s="51">
        <v>-10058.474</v>
      </c>
      <c r="U8" s="1">
        <v>69047.676999999996</v>
      </c>
      <c r="V8" s="1">
        <v>20346.940999999999</v>
      </c>
      <c r="W8" s="157">
        <v>27744.536</v>
      </c>
      <c r="X8" s="157">
        <v>34631.307000000001</v>
      </c>
      <c r="Y8" s="157">
        <v>56576.044000000002</v>
      </c>
      <c r="Z8" s="157">
        <v>20440.661</v>
      </c>
      <c r="AA8" s="157">
        <v>-14688.097</v>
      </c>
      <c r="AB8" s="157">
        <v>39641.203000000001</v>
      </c>
      <c r="AC8" s="157">
        <v>38715</v>
      </c>
      <c r="AD8" s="1">
        <v>16328.895</v>
      </c>
      <c r="AE8" s="1">
        <v>27204.228999999999</v>
      </c>
      <c r="AF8" s="1">
        <v>44239.106</v>
      </c>
      <c r="AG8" s="1">
        <v>15031.763000000001</v>
      </c>
      <c r="AH8" s="1">
        <v>1460.8</v>
      </c>
      <c r="AI8" s="1">
        <v>43169.936000000002</v>
      </c>
      <c r="AK8" s="1">
        <v>39509.050999999999</v>
      </c>
    </row>
    <row r="9" spans="1:39" ht="12.75" customHeight="1">
      <c r="A9" s="1" t="s">
        <v>23</v>
      </c>
      <c r="D9" s="1">
        <v>15245</v>
      </c>
      <c r="I9" s="157">
        <v>22354.686000000002</v>
      </c>
      <c r="J9" s="157">
        <v>22133.331999999999</v>
      </c>
      <c r="M9" s="1">
        <v>19593.962</v>
      </c>
      <c r="N9" s="1">
        <v>20897.343000000001</v>
      </c>
      <c r="O9" s="1">
        <v>22392.058000000001</v>
      </c>
      <c r="R9" s="27">
        <v>33831.161</v>
      </c>
      <c r="S9" s="38">
        <v>26821</v>
      </c>
      <c r="T9" s="52">
        <v>-30738.312999999998</v>
      </c>
      <c r="U9" s="38">
        <v>37248.946000000004</v>
      </c>
      <c r="V9" s="38">
        <v>161660.08199999999</v>
      </c>
      <c r="W9" s="157">
        <f>485.066+113425.255</f>
        <v>113910.32100000001</v>
      </c>
      <c r="X9" s="157">
        <v>171099.84</v>
      </c>
      <c r="Y9" s="157">
        <v>229948.236</v>
      </c>
      <c r="Z9" s="157">
        <v>-28202.212</v>
      </c>
      <c r="AA9" s="157">
        <v>-286830.19099999999</v>
      </c>
      <c r="AB9" s="157">
        <v>100150.852</v>
      </c>
      <c r="AC9" s="157">
        <v>230283</v>
      </c>
      <c r="AD9" s="1">
        <v>-38408.841999999997</v>
      </c>
      <c r="AE9" s="1">
        <v>157142.79800000001</v>
      </c>
      <c r="AF9" s="1">
        <v>201899.94099999999</v>
      </c>
      <c r="AG9" s="1">
        <v>77076.278000000006</v>
      </c>
      <c r="AH9" s="1">
        <v>-46952.862000000001</v>
      </c>
      <c r="AI9" s="1">
        <v>599.79700000000003</v>
      </c>
      <c r="AK9" s="1">
        <v>126348.932</v>
      </c>
    </row>
    <row r="10" spans="1:39" ht="12.75" customHeight="1">
      <c r="A10" s="1" t="s">
        <v>24</v>
      </c>
      <c r="B10" s="1">
        <v>174</v>
      </c>
      <c r="C10" s="1">
        <f>0+223</f>
        <v>223</v>
      </c>
      <c r="D10" s="1">
        <f>0+361</f>
        <v>361</v>
      </c>
      <c r="I10" s="157">
        <v>30.413</v>
      </c>
      <c r="J10" s="157">
        <v>26.792000000000002</v>
      </c>
      <c r="K10" s="1">
        <v>39267.040000000001</v>
      </c>
      <c r="L10" s="1">
        <v>248.06200000000001</v>
      </c>
      <c r="M10" s="1">
        <v>169.011</v>
      </c>
      <c r="N10" s="1">
        <v>0</v>
      </c>
      <c r="O10" s="1">
        <v>0</v>
      </c>
      <c r="R10" s="27">
        <v>0</v>
      </c>
      <c r="S10" s="1">
        <v>0</v>
      </c>
      <c r="T10" s="51">
        <v>52141.275000000001</v>
      </c>
      <c r="U10" s="1">
        <v>114279.216</v>
      </c>
      <c r="V10" s="1">
        <v>29265.728999999999</v>
      </c>
      <c r="W10" s="157">
        <v>78718.784</v>
      </c>
      <c r="X10" s="157">
        <v>56696.472999999998</v>
      </c>
      <c r="Y10" s="157">
        <v>130830.166</v>
      </c>
      <c r="Z10" s="157">
        <v>129035.86199999999</v>
      </c>
      <c r="AA10" s="157">
        <v>54735.565000000002</v>
      </c>
      <c r="AB10" s="157">
        <v>177268.67199999999</v>
      </c>
      <c r="AC10" s="157">
        <v>141006</v>
      </c>
      <c r="AD10" s="1">
        <v>87825.607999999993</v>
      </c>
      <c r="AE10" s="1">
        <v>67151.679999999993</v>
      </c>
      <c r="AF10" s="1">
        <v>159285.57800000001</v>
      </c>
      <c r="AG10" s="1">
        <v>56493.275999999998</v>
      </c>
      <c r="AH10" s="1">
        <v>56832.392</v>
      </c>
      <c r="AI10" s="1">
        <v>107620.933</v>
      </c>
      <c r="AK10" s="1">
        <v>233462.11</v>
      </c>
    </row>
    <row r="11" spans="1:39" ht="12.75" customHeight="1">
      <c r="A11" s="1" t="s">
        <v>25</v>
      </c>
      <c r="B11" s="1">
        <f>696+1346</f>
        <v>2042</v>
      </c>
      <c r="C11" s="1">
        <f>835+969</f>
        <v>1804</v>
      </c>
      <c r="D11" s="1">
        <f>963+789</f>
        <v>1752</v>
      </c>
      <c r="I11" s="157">
        <v>2754.5430000000001</v>
      </c>
      <c r="J11" s="157">
        <v>3541.8470000000002</v>
      </c>
      <c r="K11" s="1">
        <v>4303.3879999999999</v>
      </c>
      <c r="L11" s="1">
        <v>6996.0079999999998</v>
      </c>
      <c r="M11" s="1">
        <v>3326.6579999999999</v>
      </c>
      <c r="N11" s="1">
        <v>3262.6489999999999</v>
      </c>
      <c r="O11" s="1">
        <v>2810.989</v>
      </c>
      <c r="R11" s="27">
        <v>4369.759</v>
      </c>
      <c r="S11" s="1">
        <v>4962.2910000000002</v>
      </c>
      <c r="T11" s="51">
        <v>17730.011999999999</v>
      </c>
      <c r="U11" s="1">
        <v>15423.502</v>
      </c>
      <c r="V11" s="1">
        <v>-1617.9490000000001</v>
      </c>
      <c r="W11" s="157">
        <v>21691.261999999999</v>
      </c>
      <c r="X11" s="157">
        <v>35360.343000000001</v>
      </c>
      <c r="Y11" s="157">
        <v>53588.711000000003</v>
      </c>
      <c r="Z11" s="157">
        <v>37293.292000000001</v>
      </c>
      <c r="AA11" s="157">
        <v>16941.823</v>
      </c>
      <c r="AB11" s="157">
        <v>25069.916000000001</v>
      </c>
      <c r="AC11" s="157">
        <v>28393</v>
      </c>
      <c r="AD11" s="1">
        <v>19752.233</v>
      </c>
      <c r="AE11" s="1">
        <v>24722.455000000002</v>
      </c>
      <c r="AF11" s="1">
        <v>33591.487000000001</v>
      </c>
      <c r="AG11" s="1">
        <v>21169.028999999999</v>
      </c>
      <c r="AH11" s="1">
        <v>20119.291000000001</v>
      </c>
      <c r="AI11" s="1">
        <v>40892.194000000003</v>
      </c>
      <c r="AK11" s="1">
        <v>61083.625999999997</v>
      </c>
    </row>
    <row r="12" spans="1:39" ht="12.75" customHeight="1">
      <c r="A12" s="1" t="s">
        <v>26</v>
      </c>
      <c r="B12" s="1">
        <v>2028</v>
      </c>
      <c r="C12" s="1">
        <f>3057+9</f>
        <v>3066</v>
      </c>
      <c r="D12" s="1">
        <f>5037+10</f>
        <v>5047</v>
      </c>
      <c r="I12" s="157">
        <v>8683.2900000000009</v>
      </c>
      <c r="J12" s="157">
        <v>6128.3829999999998</v>
      </c>
      <c r="K12" s="1">
        <v>5893.5219999999999</v>
      </c>
      <c r="L12" s="1">
        <v>5088.335</v>
      </c>
      <c r="M12" s="1">
        <v>10235.907999999999</v>
      </c>
      <c r="N12" s="1">
        <v>12130.831</v>
      </c>
      <c r="O12" s="1">
        <v>13587.120999999999</v>
      </c>
      <c r="R12" s="20">
        <v>21116.92</v>
      </c>
      <c r="S12" s="1">
        <v>22523.148000000001</v>
      </c>
      <c r="T12" s="51">
        <v>9289.7389999999996</v>
      </c>
      <c r="U12" s="1">
        <v>45312.266000000003</v>
      </c>
      <c r="V12" s="1">
        <v>90745.760999999999</v>
      </c>
      <c r="W12" s="157">
        <v>73167.163</v>
      </c>
      <c r="X12" s="157">
        <v>138425.00399999999</v>
      </c>
      <c r="Y12" s="157">
        <v>195412.75599999999</v>
      </c>
      <c r="Z12" s="157">
        <v>-25351.438999999998</v>
      </c>
      <c r="AA12" s="157">
        <v>-160304.66399999999</v>
      </c>
      <c r="AB12" s="157">
        <v>114543.66499999999</v>
      </c>
      <c r="AC12" s="157">
        <v>166331</v>
      </c>
      <c r="AD12" s="1">
        <v>9609.7790000000005</v>
      </c>
      <c r="AE12" s="1">
        <v>112360.041</v>
      </c>
      <c r="AF12" s="1">
        <v>166985.49299999999</v>
      </c>
      <c r="AG12" s="1">
        <v>48364.932999999997</v>
      </c>
      <c r="AH12" s="1">
        <v>-4490.6949999999997</v>
      </c>
      <c r="AI12" s="1">
        <v>125248.16800000001</v>
      </c>
      <c r="AK12" s="1">
        <v>125405.92200000001</v>
      </c>
    </row>
    <row r="13" spans="1:39" ht="12.75" customHeight="1">
      <c r="A13" s="1" t="s">
        <v>27</v>
      </c>
      <c r="B13" s="1">
        <f>78+718</f>
        <v>796</v>
      </c>
      <c r="C13" s="1">
        <f>72+157</f>
        <v>229</v>
      </c>
      <c r="D13" s="1">
        <f>173+224</f>
        <v>397</v>
      </c>
      <c r="I13" s="157">
        <v>646.91499999999996</v>
      </c>
      <c r="J13" s="157">
        <v>524.51700000000005</v>
      </c>
      <c r="K13" s="1">
        <v>999.88599999999997</v>
      </c>
      <c r="L13" s="1">
        <v>1339.3050000000001</v>
      </c>
      <c r="M13" s="1">
        <v>3787.4929999999999</v>
      </c>
      <c r="N13" s="1">
        <v>4500.6620000000003</v>
      </c>
      <c r="O13" s="1">
        <v>6334.3209999999999</v>
      </c>
      <c r="R13" s="20">
        <v>9099.3269999999993</v>
      </c>
      <c r="S13" s="1">
        <v>7633.7179999999998</v>
      </c>
      <c r="T13" s="51">
        <v>22792.867999999999</v>
      </c>
      <c r="U13" s="1">
        <v>14320.629000000001</v>
      </c>
      <c r="V13" s="1">
        <v>16594.723999999998</v>
      </c>
      <c r="W13" s="157">
        <v>28696.697</v>
      </c>
      <c r="X13" s="157">
        <v>35028.919000000002</v>
      </c>
      <c r="Y13" s="157">
        <v>66797.623999999996</v>
      </c>
      <c r="Z13" s="157">
        <v>42081.866999999998</v>
      </c>
      <c r="AA13" s="157">
        <v>-780.26400000000001</v>
      </c>
      <c r="AB13" s="157">
        <v>35379.627</v>
      </c>
      <c r="AC13" s="157">
        <v>47789</v>
      </c>
      <c r="AD13" s="1">
        <v>48572.633999999998</v>
      </c>
      <c r="AE13" s="1">
        <v>25669.708999999999</v>
      </c>
      <c r="AF13" s="1">
        <v>67037.490999999995</v>
      </c>
      <c r="AG13" s="1">
        <v>21876.131000000001</v>
      </c>
      <c r="AH13" s="1">
        <v>30824.01</v>
      </c>
      <c r="AI13" s="1">
        <v>39080.6</v>
      </c>
      <c r="AK13" s="1">
        <v>68763.324999999997</v>
      </c>
    </row>
    <row r="14" spans="1:39" ht="12.75" customHeight="1">
      <c r="A14" s="1" t="s">
        <v>28</v>
      </c>
      <c r="B14" s="1">
        <v>1196</v>
      </c>
      <c r="C14" s="1">
        <f>0+1073</f>
        <v>1073</v>
      </c>
      <c r="D14" s="1">
        <f>0+1247</f>
        <v>1247</v>
      </c>
      <c r="I14" s="157">
        <v>4677.2169999999996</v>
      </c>
      <c r="J14" s="157">
        <v>7960.5510000000004</v>
      </c>
      <c r="K14" s="1">
        <v>3889.9650000000001</v>
      </c>
      <c r="L14" s="1">
        <v>3431.9969999999998</v>
      </c>
      <c r="M14" s="1">
        <v>5286.5190000000002</v>
      </c>
      <c r="N14" s="1">
        <v>6615.7950000000001</v>
      </c>
      <c r="O14" s="1">
        <v>8268.3369999999995</v>
      </c>
      <c r="R14" s="20">
        <v>11456.727000000001</v>
      </c>
      <c r="S14" s="1">
        <v>18142.266</v>
      </c>
      <c r="T14" s="51">
        <v>-868.15599999999995</v>
      </c>
      <c r="U14" s="1">
        <v>21391.424999999999</v>
      </c>
      <c r="V14" s="1">
        <v>68328.849000000002</v>
      </c>
      <c r="W14" s="157">
        <v>73633.991999999998</v>
      </c>
      <c r="X14" s="157">
        <v>98424.642000000007</v>
      </c>
      <c r="Y14" s="157">
        <v>151829.98199999999</v>
      </c>
      <c r="Z14" s="157">
        <v>56073.743999999999</v>
      </c>
      <c r="AA14" s="157">
        <v>-83976.57</v>
      </c>
      <c r="AB14" s="157">
        <v>48241.212</v>
      </c>
      <c r="AC14" s="157">
        <v>62741</v>
      </c>
      <c r="AD14" s="1">
        <v>22044.251</v>
      </c>
      <c r="AE14" s="1">
        <v>32597.167000000001</v>
      </c>
      <c r="AF14" s="1">
        <v>46771.353000000003</v>
      </c>
      <c r="AG14" s="1">
        <v>31632.616999999998</v>
      </c>
      <c r="AH14" s="1">
        <v>20372.958999999999</v>
      </c>
      <c r="AI14" s="1">
        <v>61559.775000000001</v>
      </c>
      <c r="AK14" s="1">
        <v>74368.745999999999</v>
      </c>
    </row>
    <row r="15" spans="1:39" ht="12.75" customHeight="1">
      <c r="A15" s="1" t="s">
        <v>29</v>
      </c>
      <c r="B15" s="1">
        <f>44+500</f>
        <v>544</v>
      </c>
      <c r="C15" s="1">
        <f>194+438</f>
        <v>632</v>
      </c>
      <c r="D15" s="1">
        <f>496+436</f>
        <v>932</v>
      </c>
      <c r="I15" s="157">
        <v>1113.8240000000001</v>
      </c>
      <c r="J15" s="157">
        <v>1106.366</v>
      </c>
      <c r="K15" s="1">
        <v>955.78700000000003</v>
      </c>
      <c r="L15" s="1">
        <v>867.255</v>
      </c>
      <c r="M15" s="1">
        <v>857.43700000000001</v>
      </c>
      <c r="N15" s="1">
        <v>1461.4110000000001</v>
      </c>
      <c r="O15" s="1">
        <v>1605.127</v>
      </c>
      <c r="R15" s="20">
        <v>3856.1840000000002</v>
      </c>
      <c r="S15" s="1">
        <v>4531.4960000000001</v>
      </c>
      <c r="T15" s="51">
        <v>10174.013999999999</v>
      </c>
      <c r="U15" s="1">
        <v>15651.922</v>
      </c>
      <c r="V15" s="1">
        <v>18956.757000000001</v>
      </c>
      <c r="W15" s="157">
        <v>23172.059000000001</v>
      </c>
      <c r="X15" s="157">
        <v>27396.607</v>
      </c>
      <c r="Y15" s="157">
        <v>55096.15</v>
      </c>
      <c r="Z15" s="157">
        <v>19910.112000000001</v>
      </c>
      <c r="AA15" s="157">
        <v>-1083.617</v>
      </c>
      <c r="AB15" s="157">
        <v>29654.614000000001</v>
      </c>
      <c r="AC15" s="157">
        <v>34696</v>
      </c>
      <c r="AD15" s="1">
        <v>6419.7979999999998</v>
      </c>
      <c r="AE15" s="1">
        <v>20719.483</v>
      </c>
      <c r="AF15" s="1">
        <v>33726.307999999997</v>
      </c>
      <c r="AG15" s="1">
        <v>12777.79</v>
      </c>
      <c r="AH15" s="1">
        <v>17490.07</v>
      </c>
      <c r="AI15" s="1">
        <v>31836.937999999998</v>
      </c>
      <c r="AK15" s="1">
        <v>41523.695</v>
      </c>
    </row>
    <row r="16" spans="1:39" ht="12.75" customHeight="1">
      <c r="A16" s="1" t="s">
        <v>30</v>
      </c>
      <c r="B16" s="1">
        <f>3889+2330</f>
        <v>6219</v>
      </c>
      <c r="C16" s="1">
        <f>3530+2102</f>
        <v>5632</v>
      </c>
      <c r="D16" s="1">
        <f>3953+2199</f>
        <v>6152</v>
      </c>
      <c r="I16" s="157">
        <v>9511.31</v>
      </c>
      <c r="J16" s="157">
        <v>10866.977000000001</v>
      </c>
      <c r="K16" s="1">
        <v>11984.725</v>
      </c>
      <c r="L16" s="1">
        <v>15059.013000000001</v>
      </c>
      <c r="M16" s="1">
        <v>18055.973000000002</v>
      </c>
      <c r="N16" s="1">
        <v>18871.141</v>
      </c>
      <c r="O16" s="1">
        <v>21260.315999999999</v>
      </c>
      <c r="R16" s="20">
        <v>33179.298000000003</v>
      </c>
      <c r="S16" s="1">
        <v>21156.828000000001</v>
      </c>
      <c r="T16" s="51">
        <v>56693.010999999999</v>
      </c>
      <c r="U16" s="1">
        <v>73205.267999999996</v>
      </c>
      <c r="V16" s="1">
        <v>214347.766</v>
      </c>
      <c r="W16" s="157">
        <v>215318.54500000001</v>
      </c>
      <c r="X16" s="157">
        <v>284509.56599999999</v>
      </c>
      <c r="Y16" s="157">
        <v>450872.89899999998</v>
      </c>
      <c r="Z16" s="157">
        <v>191801.902</v>
      </c>
      <c r="AA16" s="157">
        <v>-365543.24099999998</v>
      </c>
      <c r="AB16" s="157">
        <v>174659.571</v>
      </c>
      <c r="AC16" s="157">
        <v>324198</v>
      </c>
      <c r="AD16" s="1">
        <v>51273.35</v>
      </c>
      <c r="AE16" s="1">
        <v>284712.16399999999</v>
      </c>
      <c r="AF16" s="1">
        <v>391985.24599999998</v>
      </c>
      <c r="AG16" s="1">
        <v>261854.11600000001</v>
      </c>
      <c r="AH16" s="1">
        <v>-34296.743999999999</v>
      </c>
      <c r="AI16" s="1">
        <v>410067.33799999999</v>
      </c>
      <c r="AK16" s="1">
        <v>361735.98700000002</v>
      </c>
    </row>
    <row r="17" spans="1:37" ht="12.75" customHeight="1">
      <c r="A17" s="1" t="s">
        <v>31</v>
      </c>
      <c r="B17" s="1">
        <v>0</v>
      </c>
      <c r="C17" s="1">
        <f>0+0</f>
        <v>0</v>
      </c>
      <c r="D17" s="1">
        <f>0+0</f>
        <v>0</v>
      </c>
      <c r="I17" s="157">
        <v>649.12800000000004</v>
      </c>
      <c r="J17" s="157">
        <v>1308.0409999999999</v>
      </c>
      <c r="K17" s="1">
        <v>1451.912</v>
      </c>
      <c r="L17" s="1">
        <v>2066.09</v>
      </c>
      <c r="M17" s="1">
        <v>2453.9789999999998</v>
      </c>
      <c r="N17" s="1">
        <v>3197.3359999999998</v>
      </c>
      <c r="O17" s="1">
        <v>4625.55</v>
      </c>
      <c r="R17" s="20">
        <v>13481.684999999999</v>
      </c>
      <c r="S17" s="1">
        <v>15155.145</v>
      </c>
      <c r="T17" s="51">
        <v>9277.0849999999991</v>
      </c>
      <c r="U17" s="1">
        <v>9141.7739999999994</v>
      </c>
      <c r="V17" s="1">
        <v>9178.0650000000005</v>
      </c>
      <c r="W17" s="157">
        <v>15306.637000000001</v>
      </c>
      <c r="X17" s="157">
        <v>22672.473999999998</v>
      </c>
      <c r="Y17" s="157">
        <v>45448.940999999999</v>
      </c>
      <c r="Z17" s="157">
        <v>30506.15</v>
      </c>
      <c r="AA17" s="157">
        <v>-655.08199999999999</v>
      </c>
      <c r="AB17" s="157">
        <v>37120.705000000002</v>
      </c>
      <c r="AC17" s="157">
        <v>35930</v>
      </c>
      <c r="AD17" s="1">
        <v>16794.09</v>
      </c>
      <c r="AE17" s="1">
        <v>22753.867999999999</v>
      </c>
      <c r="AF17" s="1">
        <v>31015.387999999999</v>
      </c>
      <c r="AG17" s="1">
        <v>20357.131000000001</v>
      </c>
      <c r="AH17" s="1">
        <v>12813.087</v>
      </c>
      <c r="AI17" s="1">
        <v>36467.957999999999</v>
      </c>
      <c r="AK17" s="1">
        <v>55158.288999999997</v>
      </c>
    </row>
    <row r="18" spans="1:37" ht="12.75" customHeight="1">
      <c r="A18" s="1" t="s">
        <v>32</v>
      </c>
      <c r="B18" s="1">
        <f>274+128</f>
        <v>402</v>
      </c>
      <c r="C18" s="1">
        <f>712+66</f>
        <v>778</v>
      </c>
      <c r="D18" s="1">
        <f>1254+299</f>
        <v>1553</v>
      </c>
      <c r="I18" s="157">
        <v>2043.47</v>
      </c>
      <c r="J18" s="157">
        <v>2348.3739999999998</v>
      </c>
      <c r="K18" s="1">
        <v>2144.828</v>
      </c>
      <c r="L18" s="1">
        <v>2536.2469999999998</v>
      </c>
      <c r="M18" s="1">
        <v>2656.4070000000002</v>
      </c>
      <c r="N18" s="1">
        <v>2465.8490000000002</v>
      </c>
      <c r="O18" s="1">
        <v>2434.623</v>
      </c>
      <c r="R18" s="20">
        <v>3105.4850000000001</v>
      </c>
      <c r="S18" s="1">
        <v>3501.43</v>
      </c>
      <c r="T18" s="51">
        <v>18885.650000000001</v>
      </c>
      <c r="U18" s="1">
        <v>23901.422999999999</v>
      </c>
      <c r="V18" s="1">
        <v>18286.401999999998</v>
      </c>
      <c r="W18" s="157">
        <v>22276.805</v>
      </c>
      <c r="X18" s="157">
        <v>22485.194</v>
      </c>
      <c r="Y18" s="157">
        <v>47553.095999999998</v>
      </c>
      <c r="Z18" s="157">
        <v>24565.863000000001</v>
      </c>
      <c r="AA18" s="157">
        <v>15408.787</v>
      </c>
      <c r="AB18" s="157">
        <v>57441.430999999997</v>
      </c>
      <c r="AC18" s="157">
        <v>56965</v>
      </c>
      <c r="AD18" s="1">
        <v>22738.055</v>
      </c>
      <c r="AE18" s="1">
        <v>32570.541000000001</v>
      </c>
      <c r="AF18" s="1">
        <v>50060.646000000001</v>
      </c>
      <c r="AG18" s="1">
        <v>15638.359</v>
      </c>
      <c r="AH18" s="1">
        <v>10968.1</v>
      </c>
      <c r="AI18" s="1">
        <v>41098.944000000003</v>
      </c>
      <c r="AK18" s="1">
        <v>68193.788</v>
      </c>
    </row>
    <row r="19" spans="1:37" ht="12.75" customHeight="1">
      <c r="A19" s="1" t="s">
        <v>33</v>
      </c>
      <c r="B19" s="1">
        <f>1472+1735</f>
        <v>3207</v>
      </c>
      <c r="C19" s="1">
        <f>1891+1832</f>
        <v>3723</v>
      </c>
      <c r="D19" s="1">
        <f>1544+2154</f>
        <v>3698</v>
      </c>
      <c r="I19" s="157">
        <v>13299.925999999999</v>
      </c>
      <c r="J19" s="157">
        <v>13643.16</v>
      </c>
      <c r="K19" s="1">
        <v>15298.074000000001</v>
      </c>
      <c r="L19" s="1">
        <v>14186.434999999999</v>
      </c>
      <c r="M19" s="1">
        <v>14087.257</v>
      </c>
      <c r="N19" s="1">
        <v>14811.873</v>
      </c>
      <c r="O19" s="1">
        <v>17574.7</v>
      </c>
      <c r="R19" s="27">
        <v>21471.502</v>
      </c>
      <c r="S19" s="1">
        <v>29233.386999999999</v>
      </c>
      <c r="T19" s="51">
        <v>45736.228999999999</v>
      </c>
      <c r="U19" s="1">
        <v>48890.413999999997</v>
      </c>
      <c r="V19" s="1">
        <v>91753.934999999998</v>
      </c>
      <c r="W19" s="157">
        <v>100408.053</v>
      </c>
      <c r="X19" s="157">
        <v>127072.598</v>
      </c>
      <c r="Y19" s="157">
        <v>198471.31400000001</v>
      </c>
      <c r="Z19" s="157">
        <v>38032.756999999998</v>
      </c>
      <c r="AA19" s="157">
        <v>-94768.520999999993</v>
      </c>
      <c r="AB19" s="157">
        <v>125225.067</v>
      </c>
      <c r="AC19" s="157">
        <v>136694</v>
      </c>
      <c r="AD19" s="1">
        <v>19793.878000000001</v>
      </c>
      <c r="AE19" s="1">
        <v>113836.538</v>
      </c>
      <c r="AF19" s="1">
        <v>145811.29999999999</v>
      </c>
      <c r="AG19" s="1">
        <v>37517.964999999997</v>
      </c>
      <c r="AH19" s="1">
        <v>43378.940999999999</v>
      </c>
      <c r="AI19" s="1">
        <v>92498.198000000004</v>
      </c>
      <c r="AK19" s="1">
        <v>66989.778000000006</v>
      </c>
    </row>
    <row r="20" spans="1:37" ht="12.75" customHeight="1">
      <c r="A20" s="1" t="s">
        <v>34</v>
      </c>
      <c r="B20" s="1">
        <f>49625+9433</f>
        <v>59058</v>
      </c>
      <c r="C20" s="1">
        <f>50847+10539</f>
        <v>61386</v>
      </c>
      <c r="D20" s="1">
        <f>69127+11271</f>
        <v>80398</v>
      </c>
      <c r="I20" s="157">
        <v>46469.612000000001</v>
      </c>
      <c r="J20" s="157">
        <v>133101.978</v>
      </c>
      <c r="K20" s="1">
        <v>130949.083</v>
      </c>
      <c r="L20" s="1">
        <v>137600.90700000001</v>
      </c>
      <c r="M20" s="1">
        <v>136204.834</v>
      </c>
      <c r="N20" s="1">
        <v>159136.91500000001</v>
      </c>
      <c r="O20" s="1">
        <v>163348.21100000001</v>
      </c>
      <c r="R20" s="20">
        <v>269934.84899999999</v>
      </c>
      <c r="S20" s="1">
        <v>289265.03600000002</v>
      </c>
      <c r="T20" s="51">
        <v>23732.833999999999</v>
      </c>
      <c r="U20" s="1">
        <v>501506.50199999998</v>
      </c>
      <c r="V20" s="1">
        <v>682088.97499999998</v>
      </c>
      <c r="W20" s="157">
        <v>931704.20900000003</v>
      </c>
      <c r="X20" s="157">
        <v>794524.70900000003</v>
      </c>
      <c r="Y20" s="157">
        <v>1214789.2379999999</v>
      </c>
      <c r="Z20" s="157">
        <v>275668.42800000001</v>
      </c>
      <c r="AA20" s="157">
        <v>-714339.69499999995</v>
      </c>
      <c r="AB20" s="157">
        <v>908871.49100000004</v>
      </c>
      <c r="AC20" s="157">
        <v>1174618</v>
      </c>
      <c r="AD20" s="1">
        <v>484451.20600000001</v>
      </c>
      <c r="AE20" s="1">
        <v>656628.38899999997</v>
      </c>
      <c r="AF20" s="1">
        <v>1246531.682</v>
      </c>
      <c r="AG20" s="1">
        <v>23167.275000000001</v>
      </c>
      <c r="AH20" s="1">
        <v>692774.94299999997</v>
      </c>
      <c r="AI20" s="1">
        <v>1633879.88</v>
      </c>
      <c r="AK20" s="1">
        <v>1214291.1299999999</v>
      </c>
    </row>
    <row r="21" spans="1:37" ht="12.75" customHeight="1">
      <c r="A21" s="1" t="s">
        <v>35</v>
      </c>
      <c r="B21" s="1">
        <f>9825+1589</f>
        <v>11414</v>
      </c>
      <c r="C21" s="1">
        <f>11350+2262</f>
        <v>13612</v>
      </c>
      <c r="D21" s="1">
        <f>11921+2597</f>
        <v>14518</v>
      </c>
      <c r="I21" s="157">
        <v>26233.966</v>
      </c>
      <c r="J21" s="157">
        <v>26477.562999999998</v>
      </c>
      <c r="K21" s="1">
        <v>28836.42</v>
      </c>
      <c r="L21" s="1">
        <v>28598.887999999999</v>
      </c>
      <c r="M21" s="1">
        <v>30168.618999999999</v>
      </c>
      <c r="N21" s="1">
        <v>34572.682000000001</v>
      </c>
      <c r="O21" s="1">
        <v>36772.065999999999</v>
      </c>
      <c r="R21" s="20">
        <v>50302.936000000002</v>
      </c>
      <c r="S21" s="1">
        <v>57768.010999999999</v>
      </c>
      <c r="T21" s="51">
        <v>32319.274000000001</v>
      </c>
      <c r="U21" s="1">
        <v>206693.90100000001</v>
      </c>
      <c r="V21" s="1">
        <v>281743.47600000002</v>
      </c>
      <c r="W21" s="157">
        <v>355035.07799999998</v>
      </c>
      <c r="X21" s="157">
        <v>403136.74699999997</v>
      </c>
      <c r="Y21" s="157">
        <v>793847.71200000006</v>
      </c>
      <c r="Z21" s="157">
        <v>300351.89299999998</v>
      </c>
      <c r="AA21" s="157">
        <v>-850444.76399999997</v>
      </c>
      <c r="AB21" s="157">
        <v>498270.859</v>
      </c>
      <c r="AC21" s="157">
        <v>878346</v>
      </c>
      <c r="AD21" s="1">
        <v>221866.723</v>
      </c>
      <c r="AE21" s="1">
        <v>596409.23800000001</v>
      </c>
      <c r="AF21" s="1">
        <v>933265.24199999997</v>
      </c>
      <c r="AG21" s="1">
        <v>445646.587</v>
      </c>
      <c r="AH21" s="1">
        <v>-109237.52099999999</v>
      </c>
      <c r="AI21" s="1">
        <v>791152.09900000005</v>
      </c>
      <c r="AK21" s="1">
        <v>470349.59700000001</v>
      </c>
    </row>
    <row r="22" spans="1:37" ht="12.75" customHeight="1">
      <c r="A22" s="30" t="s">
        <v>36</v>
      </c>
      <c r="B22" s="30">
        <f>30+6</f>
        <v>36</v>
      </c>
      <c r="C22" s="30">
        <f>0+3</f>
        <v>3</v>
      </c>
      <c r="D22" s="30">
        <f>84+9</f>
        <v>93</v>
      </c>
      <c r="E22" s="30"/>
      <c r="F22" s="30"/>
      <c r="G22" s="30"/>
      <c r="H22" s="30"/>
      <c r="I22" s="158">
        <v>661.351</v>
      </c>
      <c r="J22" s="158">
        <v>0</v>
      </c>
      <c r="K22" s="30">
        <v>0</v>
      </c>
      <c r="L22" s="30">
        <v>0</v>
      </c>
      <c r="M22" s="30">
        <v>0</v>
      </c>
      <c r="N22" s="30">
        <v>0</v>
      </c>
      <c r="O22" s="30">
        <v>0</v>
      </c>
      <c r="P22" s="30"/>
      <c r="Q22" s="30"/>
      <c r="R22" s="30">
        <v>0</v>
      </c>
      <c r="S22" s="30">
        <v>0</v>
      </c>
      <c r="T22" s="68">
        <v>10025.266</v>
      </c>
      <c r="U22" s="30">
        <v>6925.4880000000003</v>
      </c>
      <c r="V22" s="30">
        <v>3647.473</v>
      </c>
      <c r="W22" s="158">
        <v>10045.575000000001</v>
      </c>
      <c r="X22" s="158">
        <v>14998.492</v>
      </c>
      <c r="Y22" s="158">
        <v>21490.011999999999</v>
      </c>
      <c r="Z22" s="158">
        <v>12618.745000000001</v>
      </c>
      <c r="AA22" s="158">
        <v>-4201.2380000000003</v>
      </c>
      <c r="AB22" s="158">
        <v>9497.107</v>
      </c>
      <c r="AC22" s="158">
        <v>11187</v>
      </c>
      <c r="AD22" s="30">
        <v>4029.3910000000001</v>
      </c>
      <c r="AE22" s="30">
        <v>14759.87</v>
      </c>
      <c r="AF22" s="30">
        <v>22728.41</v>
      </c>
      <c r="AG22" s="30">
        <v>5494.4409999999998</v>
      </c>
      <c r="AH22" s="30">
        <v>-113.46599999999999</v>
      </c>
      <c r="AI22" s="30">
        <v>28306.925999999999</v>
      </c>
      <c r="AJ22" s="30"/>
      <c r="AK22" s="30">
        <v>22419.414000000001</v>
      </c>
    </row>
    <row r="23" spans="1:37" ht="12.75" customHeight="1">
      <c r="A23" s="6" t="s">
        <v>37</v>
      </c>
      <c r="B23" s="6"/>
      <c r="C23" s="6"/>
      <c r="D23" s="6"/>
      <c r="I23" s="58"/>
      <c r="J23" s="58">
        <f>SUM(J25:J37)</f>
        <v>51993.947</v>
      </c>
      <c r="M23" s="58">
        <f>SUM(M25:M37)</f>
        <v>63311.246000000006</v>
      </c>
      <c r="O23" s="58">
        <f>SUM(O25:O37)</f>
        <v>164369.07276000004</v>
      </c>
      <c r="R23" s="58">
        <f t="shared" ref="R23:AK23" si="15">SUM(R25:R37)</f>
        <v>192403.712</v>
      </c>
      <c r="S23" s="58">
        <f t="shared" si="15"/>
        <v>205695.83499999996</v>
      </c>
      <c r="T23" s="67">
        <f t="shared" si="15"/>
        <v>203919.40900000001</v>
      </c>
      <c r="U23" s="58">
        <f t="shared" si="15"/>
        <v>378173.95099999994</v>
      </c>
      <c r="V23" s="58">
        <f t="shared" si="15"/>
        <v>591539.59399999992</v>
      </c>
      <c r="W23" s="58">
        <f t="shared" si="15"/>
        <v>613784.65499999991</v>
      </c>
      <c r="X23" s="58">
        <f t="shared" si="15"/>
        <v>804958.7570000001</v>
      </c>
      <c r="Y23" s="58">
        <f t="shared" si="15"/>
        <v>1349183.7480000001</v>
      </c>
      <c r="Z23" s="58">
        <f t="shared" si="15"/>
        <v>474265.88100000005</v>
      </c>
      <c r="AA23" s="58">
        <f t="shared" si="15"/>
        <v>-523907.43299999996</v>
      </c>
      <c r="AB23" s="58">
        <f t="shared" si="15"/>
        <v>1112271.531</v>
      </c>
      <c r="AC23" s="58">
        <f t="shared" si="15"/>
        <v>1349076</v>
      </c>
      <c r="AD23" s="58">
        <f t="shared" si="15"/>
        <v>634399.5560000001</v>
      </c>
      <c r="AE23" s="58">
        <f t="shared" si="15"/>
        <v>1173933.2949999999</v>
      </c>
      <c r="AF23" s="58">
        <f t="shared" si="15"/>
        <v>1540914.1760000002</v>
      </c>
      <c r="AG23" s="58">
        <f t="shared" si="15"/>
        <v>811575.09899999993</v>
      </c>
      <c r="AH23" s="58">
        <f t="shared" si="15"/>
        <v>848630.51900000009</v>
      </c>
      <c r="AI23" s="58">
        <f t="shared" si="15"/>
        <v>1594230.6510000003</v>
      </c>
      <c r="AJ23" s="58">
        <f t="shared" si="15"/>
        <v>0</v>
      </c>
      <c r="AK23" s="58">
        <f t="shared" si="15"/>
        <v>2012747.2740000004</v>
      </c>
    </row>
    <row r="24" spans="1:37" ht="12.75" customHeight="1">
      <c r="A24" s="6" t="s">
        <v>94</v>
      </c>
      <c r="B24" s="6"/>
      <c r="C24" s="6"/>
      <c r="D24" s="6"/>
      <c r="T24" s="51"/>
      <c r="AA24" s="10">
        <v>0</v>
      </c>
      <c r="AD24" s="1">
        <v>0</v>
      </c>
      <c r="AF24" s="1">
        <v>0</v>
      </c>
      <c r="AH24" s="1">
        <v>0</v>
      </c>
      <c r="AI24" s="1">
        <v>0</v>
      </c>
    </row>
    <row r="25" spans="1:37" ht="12.75" customHeight="1">
      <c r="A25" s="1" t="s">
        <v>38</v>
      </c>
      <c r="I25" s="157"/>
      <c r="J25" s="157">
        <v>706.76499999999999</v>
      </c>
      <c r="M25" s="1">
        <v>639.44500000000005</v>
      </c>
      <c r="O25" s="1">
        <v>5013.5910000000003</v>
      </c>
      <c r="R25" s="20">
        <v>941.84199999999998</v>
      </c>
      <c r="S25" s="1">
        <v>558.149</v>
      </c>
      <c r="T25" s="51">
        <v>1252.518</v>
      </c>
      <c r="U25" s="1">
        <v>2955.4560000000001</v>
      </c>
      <c r="V25" s="1">
        <v>2370.8290000000002</v>
      </c>
      <c r="W25" s="157">
        <v>2625.6970000000001</v>
      </c>
      <c r="X25" s="157">
        <v>4236.3469999999998</v>
      </c>
      <c r="Y25" s="157">
        <v>830.94500000000005</v>
      </c>
      <c r="Z25" s="157">
        <v>497.39699999999999</v>
      </c>
      <c r="AA25" s="157">
        <v>-4500.6620000000003</v>
      </c>
      <c r="AB25" s="157">
        <v>150.179</v>
      </c>
      <c r="AC25" s="157">
        <v>-7</v>
      </c>
      <c r="AD25" s="1">
        <v>10.397</v>
      </c>
      <c r="AE25" s="1">
        <v>1241.2650000000001</v>
      </c>
      <c r="AF25" s="1">
        <v>-727.91399999999999</v>
      </c>
      <c r="AG25" s="1">
        <v>-747.99199999999996</v>
      </c>
      <c r="AH25" s="1">
        <v>983.072</v>
      </c>
      <c r="AI25" s="1">
        <v>1198.444</v>
      </c>
      <c r="AK25" s="1">
        <v>442.93900000000002</v>
      </c>
    </row>
    <row r="26" spans="1:37" ht="12.75" customHeight="1">
      <c r="A26" s="1" t="s">
        <v>39</v>
      </c>
      <c r="I26" s="157"/>
      <c r="J26" s="157">
        <v>9596.4850000000006</v>
      </c>
      <c r="M26" s="1">
        <v>4674.7929999999997</v>
      </c>
      <c r="O26" s="1">
        <v>5140.6779999999999</v>
      </c>
      <c r="R26" s="20">
        <v>7358.64</v>
      </c>
      <c r="S26" s="1">
        <v>9958.35</v>
      </c>
      <c r="T26" s="51">
        <v>5240.8580000000002</v>
      </c>
      <c r="U26" s="1">
        <v>18506.949000000001</v>
      </c>
      <c r="V26" s="1">
        <v>33913.220999999998</v>
      </c>
      <c r="W26" s="157">
        <v>41839.572</v>
      </c>
      <c r="X26" s="157">
        <v>52938.911</v>
      </c>
      <c r="Y26" s="157">
        <v>79795.573999999993</v>
      </c>
      <c r="Z26" s="157">
        <v>20263.238000000001</v>
      </c>
      <c r="AA26" s="157">
        <v>-31871.191999999999</v>
      </c>
      <c r="AB26" s="157">
        <v>29821.233</v>
      </c>
      <c r="AC26" s="157">
        <v>48800</v>
      </c>
      <c r="AD26" s="1">
        <v>4434.9769999999999</v>
      </c>
      <c r="AE26" s="1">
        <v>33286.694000000003</v>
      </c>
      <c r="AF26" s="1">
        <v>69194.338000000003</v>
      </c>
      <c r="AG26" s="1">
        <v>13541.716</v>
      </c>
      <c r="AH26" s="1">
        <v>20386.886999999999</v>
      </c>
      <c r="AI26" s="1">
        <v>58863.059000000001</v>
      </c>
      <c r="AK26" s="1">
        <v>115253.632</v>
      </c>
    </row>
    <row r="27" spans="1:37" ht="12.75" customHeight="1">
      <c r="A27" s="1" t="s">
        <v>40</v>
      </c>
      <c r="I27" s="157"/>
      <c r="J27" s="157">
        <v>4358.4009999999998</v>
      </c>
      <c r="M27" s="1">
        <v>2074.6019999999999</v>
      </c>
      <c r="O27" s="1">
        <v>89765.104000000007</v>
      </c>
      <c r="R27" s="20">
        <v>92470.998999999996</v>
      </c>
      <c r="S27" s="1">
        <v>99696.622000000003</v>
      </c>
      <c r="T27" s="51">
        <v>38924.089999999997</v>
      </c>
      <c r="U27" s="1">
        <v>38244.419000000002</v>
      </c>
      <c r="V27" s="1">
        <v>15993.311</v>
      </c>
      <c r="W27" s="157">
        <v>31854.962</v>
      </c>
      <c r="X27" s="157">
        <v>66216.447</v>
      </c>
      <c r="Y27" s="157">
        <v>104794.84299999999</v>
      </c>
      <c r="Z27" s="157">
        <v>101358.10400000001</v>
      </c>
      <c r="AA27" s="157">
        <v>121310.321</v>
      </c>
      <c r="AB27" s="157">
        <v>346920.78899999999</v>
      </c>
      <c r="AC27" s="157">
        <v>364054</v>
      </c>
      <c r="AD27" s="1">
        <v>399957.71</v>
      </c>
      <c r="AE27" s="1">
        <v>411266.43</v>
      </c>
      <c r="AF27" s="1">
        <v>356974.43199999997</v>
      </c>
      <c r="AG27" s="1">
        <v>364444.91700000002</v>
      </c>
      <c r="AH27" s="1">
        <v>594026.20499999996</v>
      </c>
      <c r="AI27" s="1">
        <v>578299.32400000002</v>
      </c>
      <c r="AK27" s="1">
        <v>847710.05099999998</v>
      </c>
    </row>
    <row r="28" spans="1:37" ht="12.75" customHeight="1">
      <c r="A28" s="1" t="s">
        <v>41</v>
      </c>
      <c r="I28" s="157"/>
      <c r="J28" s="157">
        <v>321.76400000000001</v>
      </c>
      <c r="M28" s="1">
        <v>7549.7120000000004</v>
      </c>
      <c r="O28" s="1">
        <v>7588.6918499999992</v>
      </c>
      <c r="R28" s="20">
        <v>18248.172999999999</v>
      </c>
      <c r="S28" s="1">
        <v>13595.571</v>
      </c>
      <c r="T28" s="51">
        <v>32169.273000000001</v>
      </c>
      <c r="U28" s="1">
        <v>29191.126</v>
      </c>
      <c r="V28" s="1">
        <v>5018.9219999999996</v>
      </c>
      <c r="W28" s="157">
        <v>15233.498</v>
      </c>
      <c r="X28" s="157">
        <v>23186.017</v>
      </c>
      <c r="Y28" s="157">
        <v>40399.894</v>
      </c>
      <c r="Z28" s="157">
        <v>40512.25</v>
      </c>
      <c r="AA28" s="157">
        <v>30077.528999999999</v>
      </c>
      <c r="AB28" s="157">
        <v>39756.694000000003</v>
      </c>
      <c r="AC28" s="157">
        <v>29201</v>
      </c>
      <c r="AD28" s="1">
        <v>22925.363000000001</v>
      </c>
      <c r="AE28" s="1">
        <v>15595.802</v>
      </c>
      <c r="AF28" s="1">
        <v>50045.364999999998</v>
      </c>
      <c r="AG28" s="1">
        <v>20633.8</v>
      </c>
      <c r="AH28" s="1">
        <v>32332.645</v>
      </c>
      <c r="AI28" s="1">
        <v>21899.723999999998</v>
      </c>
      <c r="AK28" s="1">
        <v>80694.313999999998</v>
      </c>
    </row>
    <row r="29" spans="1:37" ht="12.75" customHeight="1">
      <c r="A29" s="1" t="s">
        <v>42</v>
      </c>
      <c r="I29" s="157"/>
      <c r="J29" s="157">
        <v>1630.529</v>
      </c>
      <c r="M29" s="1">
        <v>1855.5519999999999</v>
      </c>
      <c r="O29" s="1">
        <v>1899.4369999999999</v>
      </c>
      <c r="R29" s="20">
        <v>2422.395</v>
      </c>
      <c r="S29" s="1">
        <v>2651.192</v>
      </c>
      <c r="T29" s="51">
        <v>5026.0720000000001</v>
      </c>
      <c r="U29" s="1">
        <v>11465.476000000001</v>
      </c>
      <c r="V29" s="1">
        <v>9270.7369999999992</v>
      </c>
      <c r="W29" s="157">
        <v>7786.9620000000004</v>
      </c>
      <c r="X29" s="157">
        <v>6540.2659999999996</v>
      </c>
      <c r="Y29" s="157">
        <v>13563.102999999999</v>
      </c>
      <c r="Z29" s="157">
        <v>10507.754000000001</v>
      </c>
      <c r="AA29" s="157">
        <v>6667.3950000000004</v>
      </c>
      <c r="AB29" s="157">
        <v>10393.541999999999</v>
      </c>
      <c r="AC29" s="157">
        <v>11098</v>
      </c>
      <c r="AD29" s="1">
        <v>1568.7909999999999</v>
      </c>
      <c r="AE29" s="1">
        <v>7389.2349999999997</v>
      </c>
      <c r="AF29" s="1">
        <v>5669.7560000000003</v>
      </c>
      <c r="AG29" s="1">
        <v>1859.9929999999999</v>
      </c>
      <c r="AH29" s="1">
        <v>-994.82399999999996</v>
      </c>
      <c r="AI29" s="1">
        <v>5741.2060000000001</v>
      </c>
      <c r="AK29" s="1">
        <v>9206.3160000000007</v>
      </c>
    </row>
    <row r="30" spans="1:37" ht="12.75" customHeight="1">
      <c r="A30" s="1" t="s">
        <v>43</v>
      </c>
      <c r="I30" s="157"/>
      <c r="J30" s="157">
        <v>7790.1270000000004</v>
      </c>
      <c r="M30" s="1">
        <v>8525.8189999999995</v>
      </c>
      <c r="O30" s="1">
        <v>10487.773999999999</v>
      </c>
      <c r="R30" s="20">
        <v>12720.572</v>
      </c>
      <c r="S30" s="1">
        <v>14082.683000000001</v>
      </c>
      <c r="T30" s="51">
        <v>12577.671</v>
      </c>
      <c r="U30" s="1">
        <v>12963.575999999999</v>
      </c>
      <c r="V30" s="1">
        <v>8010.4949999999999</v>
      </c>
      <c r="W30" s="157">
        <v>6333.5290000000005</v>
      </c>
      <c r="X30" s="157">
        <v>9555.3909999999996</v>
      </c>
      <c r="Y30" s="157">
        <v>19947.081999999999</v>
      </c>
      <c r="Z30" s="157">
        <v>16028.253000000001</v>
      </c>
      <c r="AA30" s="157">
        <v>8219.4470000000001</v>
      </c>
      <c r="AB30" s="157">
        <v>5049.3810000000003</v>
      </c>
      <c r="AC30" s="157">
        <v>2667</v>
      </c>
      <c r="AD30" s="1">
        <v>47.945</v>
      </c>
      <c r="AE30" s="1">
        <v>5657.5690000000004</v>
      </c>
      <c r="AF30" s="1">
        <v>2408.6010000000001</v>
      </c>
      <c r="AG30" s="1">
        <v>2451.0700000000002</v>
      </c>
      <c r="AH30" s="1">
        <v>7103.0060000000003</v>
      </c>
      <c r="AI30" s="1">
        <v>1434.962</v>
      </c>
      <c r="AK30" s="1">
        <v>11966.58</v>
      </c>
    </row>
    <row r="31" spans="1:37" ht="12.75" customHeight="1">
      <c r="A31" s="1" t="s">
        <v>44</v>
      </c>
      <c r="I31" s="157"/>
      <c r="J31" s="157">
        <v>215.41200000000001</v>
      </c>
      <c r="M31" s="1">
        <v>118.625</v>
      </c>
      <c r="O31" s="1">
        <v>176.68199999999999</v>
      </c>
      <c r="R31" s="27">
        <v>168.22</v>
      </c>
      <c r="S31" s="1">
        <v>213.69</v>
      </c>
      <c r="T31" s="51">
        <v>2779.3519999999999</v>
      </c>
      <c r="U31" s="1">
        <v>3563.0819999999999</v>
      </c>
      <c r="V31" s="1">
        <v>2641.9659999999999</v>
      </c>
      <c r="W31" s="157">
        <v>7727.3040000000001</v>
      </c>
      <c r="X31" s="157">
        <v>13133.290999999999</v>
      </c>
      <c r="Y31" s="157">
        <v>18114.341</v>
      </c>
      <c r="Z31" s="157">
        <v>9846.4339999999993</v>
      </c>
      <c r="AA31" s="157">
        <v>1980.7380000000001</v>
      </c>
      <c r="AB31" s="157">
        <v>6415.6729999999998</v>
      </c>
      <c r="AC31" s="157">
        <v>9394</v>
      </c>
      <c r="AD31" s="1">
        <v>5839.0240000000003</v>
      </c>
      <c r="AE31" s="1">
        <v>5123.3119999999999</v>
      </c>
      <c r="AF31" s="1">
        <v>10624.316000000001</v>
      </c>
      <c r="AG31" s="1">
        <v>5554.5950000000003</v>
      </c>
      <c r="AH31" s="1">
        <v>5484.9849999999997</v>
      </c>
      <c r="AI31" s="1">
        <v>5693.2259999999997</v>
      </c>
      <c r="AK31" s="1">
        <v>13955.77</v>
      </c>
    </row>
    <row r="32" spans="1:37" ht="12.75" customHeight="1">
      <c r="A32" s="1" t="s">
        <v>45</v>
      </c>
      <c r="I32" s="157"/>
      <c r="J32" s="157">
        <v>1778.8610000000001</v>
      </c>
      <c r="M32" s="1">
        <v>1328.2180000000001</v>
      </c>
      <c r="O32" s="1">
        <v>2404.444</v>
      </c>
      <c r="R32" s="27">
        <v>4278.143</v>
      </c>
      <c r="S32" s="1">
        <v>4116.3220000000001</v>
      </c>
      <c r="T32" s="51">
        <v>-3648.9920000000002</v>
      </c>
      <c r="U32" s="1">
        <v>11164.697</v>
      </c>
      <c r="V32" s="1">
        <v>38640.01</v>
      </c>
      <c r="W32" s="157">
        <v>37383.546999999999</v>
      </c>
      <c r="X32" s="157">
        <v>46694.904999999999</v>
      </c>
      <c r="Y32" s="157">
        <v>75979.282000000007</v>
      </c>
      <c r="Z32" s="157">
        <v>4253.95</v>
      </c>
      <c r="AA32" s="157">
        <v>-63664.116999999998</v>
      </c>
      <c r="AB32" s="157">
        <v>45929.620999999999</v>
      </c>
      <c r="AC32" s="157">
        <v>65673</v>
      </c>
      <c r="AD32" s="1">
        <v>11599.784</v>
      </c>
      <c r="AE32" s="1">
        <v>53723.696000000004</v>
      </c>
      <c r="AF32" s="1">
        <v>79585.714000000007</v>
      </c>
      <c r="AG32" s="1">
        <v>2683.723</v>
      </c>
      <c r="AH32" s="1">
        <v>-1484.029</v>
      </c>
      <c r="AI32" s="1">
        <v>58533.226000000002</v>
      </c>
      <c r="AK32" s="1">
        <v>35544.949999999997</v>
      </c>
    </row>
    <row r="33" spans="1:37" ht="12.75" customHeight="1">
      <c r="A33" s="1" t="s">
        <v>46</v>
      </c>
      <c r="I33" s="157"/>
      <c r="J33" s="157">
        <v>2253.125</v>
      </c>
      <c r="M33" s="1">
        <v>7296.5510000000004</v>
      </c>
      <c r="O33" s="1">
        <v>9416.064910000001</v>
      </c>
      <c r="R33" s="27">
        <v>9834.1820000000007</v>
      </c>
      <c r="S33" s="1">
        <v>10672.11</v>
      </c>
      <c r="T33" s="51">
        <v>4401.8209999999999</v>
      </c>
      <c r="U33" s="1">
        <v>22514.911</v>
      </c>
      <c r="V33" s="1">
        <v>49445.487000000001</v>
      </c>
      <c r="W33" s="157">
        <v>40841.214</v>
      </c>
      <c r="X33" s="157">
        <v>57193.574999999997</v>
      </c>
      <c r="Y33" s="157">
        <v>102353.58100000001</v>
      </c>
      <c r="Z33" s="157">
        <v>23859.212</v>
      </c>
      <c r="AA33" s="157">
        <v>-81399.807000000001</v>
      </c>
      <c r="AB33" s="157">
        <v>59684.258000000002</v>
      </c>
      <c r="AC33" s="157">
        <v>79484</v>
      </c>
      <c r="AD33" s="1">
        <v>15982.378000000001</v>
      </c>
      <c r="AE33" s="1">
        <v>58487.167999999998</v>
      </c>
      <c r="AF33" s="1">
        <v>85625.728000000003</v>
      </c>
      <c r="AG33" s="1">
        <v>13649.481</v>
      </c>
      <c r="AH33" s="1">
        <v>5412.7629999999999</v>
      </c>
      <c r="AI33" s="1">
        <v>41273.982000000004</v>
      </c>
      <c r="AK33" s="1">
        <v>56389.525999999998</v>
      </c>
    </row>
    <row r="34" spans="1:37" ht="12.75" customHeight="1">
      <c r="A34" s="1" t="s">
        <v>47</v>
      </c>
      <c r="I34" s="157"/>
      <c r="J34" s="157">
        <v>5624.8230000000003</v>
      </c>
      <c r="M34" s="1">
        <v>5146.9279999999999</v>
      </c>
      <c r="O34" s="1">
        <v>3661.12</v>
      </c>
      <c r="R34" s="20">
        <v>4309.1469999999999</v>
      </c>
      <c r="S34" s="1">
        <v>4521.3630000000003</v>
      </c>
      <c r="T34" s="51">
        <v>10082.364</v>
      </c>
      <c r="U34" s="1">
        <v>35688.231</v>
      </c>
      <c r="V34" s="1">
        <v>55877.114999999998</v>
      </c>
      <c r="W34" s="157">
        <v>62144.428999999996</v>
      </c>
      <c r="X34" s="157">
        <v>75237.076000000001</v>
      </c>
      <c r="Y34" s="157">
        <v>110895.80899999999</v>
      </c>
      <c r="Z34" s="157">
        <v>40301.118999999999</v>
      </c>
      <c r="AA34" s="157">
        <v>8301.5540000000001</v>
      </c>
      <c r="AB34" s="157">
        <v>80250.899000000005</v>
      </c>
      <c r="AC34" s="157">
        <v>112346</v>
      </c>
      <c r="AD34" s="1">
        <v>38946.803999999996</v>
      </c>
      <c r="AE34" s="1">
        <v>86810.081000000006</v>
      </c>
      <c r="AF34" s="1">
        <v>135500.193</v>
      </c>
      <c r="AG34" s="1">
        <v>36258.095000000001</v>
      </c>
      <c r="AH34" s="1">
        <v>43896.688000000002</v>
      </c>
      <c r="AI34" s="1">
        <v>145543.44200000001</v>
      </c>
      <c r="AK34" s="1">
        <v>210584.891</v>
      </c>
    </row>
    <row r="35" spans="1:37" ht="12.75" customHeight="1">
      <c r="A35" s="1" t="s">
        <v>48</v>
      </c>
      <c r="I35" s="157"/>
      <c r="J35" s="157">
        <v>9116.8819999999996</v>
      </c>
      <c r="M35" s="1">
        <v>9780.634</v>
      </c>
      <c r="O35" s="1">
        <v>13611.245999999999</v>
      </c>
      <c r="R35" s="20">
        <v>15098.885</v>
      </c>
      <c r="S35" s="1">
        <v>17986.205999999998</v>
      </c>
      <c r="T35" s="51">
        <v>-2366.4110000000001</v>
      </c>
      <c r="U35" s="1">
        <v>36857.300999999999</v>
      </c>
      <c r="V35" s="1">
        <v>76698.032999999996</v>
      </c>
      <c r="W35" s="157">
        <v>71199.543000000005</v>
      </c>
      <c r="X35" s="157">
        <v>87797.445999999996</v>
      </c>
      <c r="Y35" s="157">
        <v>171209.22700000001</v>
      </c>
      <c r="Z35" s="157">
        <v>36936.008000000002</v>
      </c>
      <c r="AA35" s="157">
        <v>-56328.224000000002</v>
      </c>
      <c r="AB35" s="157">
        <v>90812.788</v>
      </c>
      <c r="AC35" s="157">
        <v>138054</v>
      </c>
      <c r="AD35" s="1">
        <v>38480.42</v>
      </c>
      <c r="AE35" s="1">
        <v>76688.031000000003</v>
      </c>
      <c r="AF35" s="1">
        <v>146427.87100000001</v>
      </c>
      <c r="AG35" s="1">
        <v>60300.434999999998</v>
      </c>
      <c r="AH35" s="1">
        <v>47390.591</v>
      </c>
      <c r="AI35" s="1">
        <v>144496.37700000001</v>
      </c>
      <c r="AK35" s="1">
        <v>194078.546</v>
      </c>
    </row>
    <row r="36" spans="1:37" ht="12.75" customHeight="1">
      <c r="A36" s="1" t="s">
        <v>49</v>
      </c>
      <c r="I36" s="157"/>
      <c r="J36" s="157">
        <v>5611.0290000000005</v>
      </c>
      <c r="M36" s="1">
        <v>11602.298000000001</v>
      </c>
      <c r="O36" s="1">
        <v>12710.632</v>
      </c>
      <c r="R36" s="20">
        <v>21512.09</v>
      </c>
      <c r="S36" s="1">
        <v>24861.598000000002</v>
      </c>
      <c r="T36" s="51">
        <v>95743.312999999995</v>
      </c>
      <c r="U36" s="1">
        <v>148794.4</v>
      </c>
      <c r="V36" s="1">
        <v>281255.99300000002</v>
      </c>
      <c r="W36" s="157">
        <v>278085.73700000002</v>
      </c>
      <c r="X36" s="157">
        <v>341009.85100000002</v>
      </c>
      <c r="Y36" s="157">
        <v>586887.027</v>
      </c>
      <c r="Z36" s="157">
        <v>164726.42499999999</v>
      </c>
      <c r="AA36" s="157">
        <v>-436963.75699999998</v>
      </c>
      <c r="AB36" s="157">
        <v>380531.951</v>
      </c>
      <c r="AC36" s="157">
        <v>457600</v>
      </c>
      <c r="AD36" s="1">
        <v>92660.172999999995</v>
      </c>
      <c r="AE36" s="1">
        <v>398838.10800000001</v>
      </c>
      <c r="AF36" s="1">
        <v>570124.67200000002</v>
      </c>
      <c r="AG36" s="1">
        <v>284877.25300000003</v>
      </c>
      <c r="AH36" s="1">
        <v>98448.751999999993</v>
      </c>
      <c r="AI36" s="1">
        <v>508352.04499999998</v>
      </c>
      <c r="AK36" s="1">
        <v>423745.75900000002</v>
      </c>
    </row>
    <row r="37" spans="1:37" ht="12.75" customHeight="1">
      <c r="A37" s="30" t="s">
        <v>50</v>
      </c>
      <c r="B37" s="30"/>
      <c r="C37" s="30"/>
      <c r="D37" s="30"/>
      <c r="E37" s="30"/>
      <c r="F37" s="30"/>
      <c r="G37" s="30"/>
      <c r="H37" s="30"/>
      <c r="I37" s="158"/>
      <c r="J37" s="158">
        <v>2989.7440000000001</v>
      </c>
      <c r="K37" s="30"/>
      <c r="L37" s="30"/>
      <c r="M37" s="30">
        <v>2718.069</v>
      </c>
      <c r="N37" s="30"/>
      <c r="O37" s="30">
        <v>2493.6080000000002</v>
      </c>
      <c r="P37" s="30"/>
      <c r="Q37" s="30"/>
      <c r="R37" s="40">
        <v>3040.424</v>
      </c>
      <c r="S37" s="30">
        <v>2781.9789999999998</v>
      </c>
      <c r="T37" s="68">
        <v>1737.48</v>
      </c>
      <c r="U37" s="30">
        <v>6264.3270000000002</v>
      </c>
      <c r="V37" s="30">
        <v>12403.475</v>
      </c>
      <c r="W37" s="158">
        <v>10728.661</v>
      </c>
      <c r="X37" s="158">
        <v>21219.234</v>
      </c>
      <c r="Y37" s="158">
        <v>24413.040000000001</v>
      </c>
      <c r="Z37" s="158">
        <v>5175.7370000000001</v>
      </c>
      <c r="AA37" s="158">
        <v>-25736.657999999999</v>
      </c>
      <c r="AB37" s="158">
        <v>16554.523000000001</v>
      </c>
      <c r="AC37" s="158">
        <v>30712</v>
      </c>
      <c r="AD37" s="30">
        <v>1945.79</v>
      </c>
      <c r="AE37" s="30">
        <v>19825.903999999999</v>
      </c>
      <c r="AF37" s="30">
        <v>29461.103999999999</v>
      </c>
      <c r="AG37" s="30">
        <v>6068.0129999999999</v>
      </c>
      <c r="AH37" s="30">
        <v>-4356.2219999999998</v>
      </c>
      <c r="AI37" s="30">
        <v>22901.633999999998</v>
      </c>
      <c r="AJ37" s="30"/>
      <c r="AK37" s="30">
        <v>13174</v>
      </c>
    </row>
    <row r="38" spans="1:37" ht="12.75" customHeight="1">
      <c r="A38" s="6" t="s">
        <v>51</v>
      </c>
      <c r="B38" s="6"/>
      <c r="C38" s="6"/>
      <c r="D38" s="6"/>
      <c r="I38" s="58"/>
      <c r="J38" s="58">
        <f>SUM(J40:J51)</f>
        <v>134004.451</v>
      </c>
      <c r="M38" s="58">
        <f>SUM(M40:M51)</f>
        <v>159966.16700000002</v>
      </c>
      <c r="O38" s="58">
        <f>SUM(O40:O51)</f>
        <v>191643.57227999999</v>
      </c>
      <c r="R38" s="58">
        <f t="shared" ref="R38:AK38" si="16">SUM(R40:R51)</f>
        <v>269691.75099999999</v>
      </c>
      <c r="S38" s="58">
        <f t="shared" si="16"/>
        <v>328745.60000000003</v>
      </c>
      <c r="T38" s="67">
        <f t="shared" si="16"/>
        <v>327710.39399999997</v>
      </c>
      <c r="U38" s="58">
        <f t="shared" si="16"/>
        <v>802509.03299999994</v>
      </c>
      <c r="V38" s="58">
        <f t="shared" si="16"/>
        <v>1878305.7210000004</v>
      </c>
      <c r="W38" s="58">
        <f t="shared" si="16"/>
        <v>1922293.5459999996</v>
      </c>
      <c r="X38" s="58">
        <f t="shared" si="16"/>
        <v>2268021.1799999997</v>
      </c>
      <c r="Y38" s="58">
        <f t="shared" si="16"/>
        <v>3823988.2759999996</v>
      </c>
      <c r="Z38" s="58">
        <f t="shared" si="16"/>
        <v>816256.98199999996</v>
      </c>
      <c r="AA38" s="58">
        <f t="shared" si="16"/>
        <v>-3636329.6120000002</v>
      </c>
      <c r="AB38" s="58">
        <f t="shared" si="16"/>
        <v>2378594.8909999998</v>
      </c>
      <c r="AC38" s="58">
        <f t="shared" si="16"/>
        <v>3921179</v>
      </c>
      <c r="AD38" s="58">
        <f t="shared" si="16"/>
        <v>500120.48500000004</v>
      </c>
      <c r="AE38" s="58">
        <f t="shared" si="16"/>
        <v>2443374.0690000006</v>
      </c>
      <c r="AF38" s="58">
        <f t="shared" si="16"/>
        <v>4225587.8739999989</v>
      </c>
      <c r="AG38" s="58">
        <f t="shared" si="16"/>
        <v>1046747.1410000001</v>
      </c>
      <c r="AH38" s="58">
        <f t="shared" si="16"/>
        <v>-60469.667999999991</v>
      </c>
      <c r="AI38" s="58">
        <f t="shared" si="16"/>
        <v>3752118.5659999996</v>
      </c>
      <c r="AJ38" s="58">
        <f t="shared" si="16"/>
        <v>0</v>
      </c>
      <c r="AK38" s="58">
        <f t="shared" si="16"/>
        <v>2670858.1949999994</v>
      </c>
    </row>
    <row r="39" spans="1:37" ht="12.75" customHeight="1">
      <c r="A39" s="6" t="s">
        <v>94</v>
      </c>
      <c r="B39" s="6"/>
      <c r="C39" s="6"/>
      <c r="D39" s="6"/>
      <c r="T39" s="51"/>
      <c r="AA39" s="10">
        <v>0</v>
      </c>
      <c r="AD39" s="1">
        <v>0</v>
      </c>
      <c r="AF39" s="1">
        <v>0</v>
      </c>
      <c r="AH39" s="1">
        <v>0</v>
      </c>
      <c r="AI39" s="1">
        <v>0</v>
      </c>
    </row>
    <row r="40" spans="1:37" ht="12.75" customHeight="1">
      <c r="A40" s="1" t="s">
        <v>52</v>
      </c>
      <c r="I40" s="157"/>
      <c r="J40" s="157">
        <v>2996.2060000000001</v>
      </c>
      <c r="M40" s="1">
        <v>3842.8270000000002</v>
      </c>
      <c r="O40" s="1">
        <v>5054.7</v>
      </c>
      <c r="R40" s="20">
        <v>5709.8770000000004</v>
      </c>
      <c r="S40" s="1">
        <v>7045.5110000000004</v>
      </c>
      <c r="T40" s="51">
        <v>30671.96</v>
      </c>
      <c r="U40" s="1">
        <v>30939.067999999999</v>
      </c>
      <c r="V40" s="1">
        <v>11816.462</v>
      </c>
      <c r="W40" s="157">
        <v>31743.874</v>
      </c>
      <c r="X40" s="157">
        <v>43014.684999999998</v>
      </c>
      <c r="Y40" s="157">
        <v>105086.77099999999</v>
      </c>
      <c r="Z40" s="157">
        <v>29656.751</v>
      </c>
      <c r="AA40" s="157">
        <v>4539.8950000000004</v>
      </c>
      <c r="AB40" s="157">
        <v>53169.470999999998</v>
      </c>
      <c r="AC40" s="157">
        <v>18802</v>
      </c>
      <c r="AD40" s="1">
        <v>23456.606</v>
      </c>
      <c r="AE40" s="1">
        <v>38203.584999999999</v>
      </c>
      <c r="AF40" s="1">
        <v>27976.273000000001</v>
      </c>
      <c r="AG40" s="1">
        <v>44511.775999999998</v>
      </c>
      <c r="AH40" s="1">
        <v>37269.358</v>
      </c>
      <c r="AI40" s="1">
        <v>27678.048999999999</v>
      </c>
      <c r="AK40" s="1">
        <v>132370.06299999999</v>
      </c>
    </row>
    <row r="41" spans="1:37" ht="12.75" customHeight="1">
      <c r="A41" s="1" t="s">
        <v>53</v>
      </c>
      <c r="I41" s="157"/>
      <c r="J41" s="157">
        <v>7864.44</v>
      </c>
      <c r="M41" s="1">
        <v>7385.9539999999997</v>
      </c>
      <c r="O41" s="1">
        <v>8564.6630000000005</v>
      </c>
      <c r="R41" s="20">
        <v>12968.828</v>
      </c>
      <c r="S41" s="1">
        <v>16266.966</v>
      </c>
      <c r="T41" s="51">
        <v>27480.964</v>
      </c>
      <c r="U41" s="1">
        <v>94023.695000000007</v>
      </c>
      <c r="V41" s="1">
        <v>142450.47500000001</v>
      </c>
      <c r="W41" s="157">
        <v>176571.74600000001</v>
      </c>
      <c r="X41" s="157">
        <v>164715.731</v>
      </c>
      <c r="Y41" s="157">
        <v>332054.22700000001</v>
      </c>
      <c r="Z41" s="157">
        <v>105414.694</v>
      </c>
      <c r="AA41" s="157">
        <v>-160912.492</v>
      </c>
      <c r="AB41" s="157">
        <v>334088.73200000002</v>
      </c>
      <c r="AC41" s="157">
        <v>369343</v>
      </c>
      <c r="AD41" s="1">
        <v>103986.61500000001</v>
      </c>
      <c r="AE41" s="1">
        <v>199377.166</v>
      </c>
      <c r="AF41" s="1">
        <v>386992.38199999998</v>
      </c>
      <c r="AG41" s="1">
        <v>87636.178</v>
      </c>
      <c r="AH41" s="1">
        <v>25605.437000000002</v>
      </c>
      <c r="AI41" s="1">
        <v>254990.829</v>
      </c>
      <c r="AK41" s="1">
        <v>336370.587</v>
      </c>
    </row>
    <row r="42" spans="1:37" ht="12.75" customHeight="1">
      <c r="A42" s="1" t="s">
        <v>54</v>
      </c>
      <c r="I42" s="157"/>
      <c r="J42" s="157">
        <v>1232.8440000000001</v>
      </c>
      <c r="M42" s="1">
        <v>1182.4570000000001</v>
      </c>
      <c r="O42" s="1">
        <v>3658.97</v>
      </c>
      <c r="R42" s="20">
        <v>8134.5789999999997</v>
      </c>
      <c r="S42" s="1">
        <v>6690.6360000000004</v>
      </c>
      <c r="T42" s="51">
        <v>13088.691000000001</v>
      </c>
      <c r="U42" s="1">
        <v>48925.773000000001</v>
      </c>
      <c r="V42" s="1">
        <v>46998.483999999997</v>
      </c>
      <c r="W42" s="157">
        <v>49265.667999999998</v>
      </c>
      <c r="X42" s="157">
        <v>58213.103000000003</v>
      </c>
      <c r="Y42" s="157">
        <v>115850.647</v>
      </c>
      <c r="Z42" s="157">
        <v>24641.458999999999</v>
      </c>
      <c r="AA42" s="157">
        <v>-61644.608999999997</v>
      </c>
      <c r="AB42" s="157">
        <v>97517.964000000007</v>
      </c>
      <c r="AC42" s="157">
        <v>140608</v>
      </c>
      <c r="AD42" s="1">
        <v>75612.92</v>
      </c>
      <c r="AE42" s="1">
        <v>92287.365000000005</v>
      </c>
      <c r="AF42" s="1">
        <v>166022.39799999999</v>
      </c>
      <c r="AG42" s="1">
        <v>24290.473000000002</v>
      </c>
      <c r="AH42" s="1">
        <v>52847.836000000003</v>
      </c>
      <c r="AI42" s="1">
        <v>139570.57</v>
      </c>
      <c r="AK42" s="1">
        <v>158488.992</v>
      </c>
    </row>
    <row r="43" spans="1:37" ht="12.75" customHeight="1">
      <c r="A43" s="1" t="s">
        <v>55</v>
      </c>
      <c r="I43" s="157"/>
      <c r="J43" s="157">
        <v>29425.762999999999</v>
      </c>
      <c r="M43" s="1">
        <v>32961.574000000001</v>
      </c>
      <c r="O43" s="1">
        <v>34879.567999999999</v>
      </c>
      <c r="R43" s="20">
        <v>52753.868999999999</v>
      </c>
      <c r="S43" s="1">
        <v>59785.449000000001</v>
      </c>
      <c r="T43" s="51">
        <v>7936.8689999999997</v>
      </c>
      <c r="U43" s="1">
        <v>5012.4390000000003</v>
      </c>
      <c r="V43" s="1">
        <v>14177.573</v>
      </c>
      <c r="W43" s="157">
        <v>14858.594999999999</v>
      </c>
      <c r="X43" s="157">
        <v>26777.463</v>
      </c>
      <c r="Y43" s="157">
        <v>37467.870999999999</v>
      </c>
      <c r="Z43" s="157">
        <v>15547.541999999999</v>
      </c>
      <c r="AA43" s="157">
        <v>-10339.413</v>
      </c>
      <c r="AB43" s="157">
        <v>31285.554</v>
      </c>
      <c r="AC43" s="157">
        <v>35661</v>
      </c>
      <c r="AD43" s="1">
        <v>5042.87</v>
      </c>
      <c r="AE43" s="1">
        <v>23186.288</v>
      </c>
      <c r="AF43" s="1">
        <v>28054.965</v>
      </c>
      <c r="AG43" s="1">
        <v>5034.7730000000001</v>
      </c>
      <c r="AH43" s="1">
        <v>13479.491</v>
      </c>
      <c r="AI43" s="1">
        <v>26286.838</v>
      </c>
      <c r="AK43" s="1">
        <v>22069.883999999998</v>
      </c>
    </row>
    <row r="44" spans="1:37" ht="12.75" customHeight="1">
      <c r="A44" s="1" t="s">
        <v>56</v>
      </c>
      <c r="I44" s="157"/>
      <c r="J44" s="157">
        <v>23942.951000000001</v>
      </c>
      <c r="M44" s="1">
        <v>29642.994999999999</v>
      </c>
      <c r="O44" s="1">
        <v>46425.470999999998</v>
      </c>
      <c r="R44" s="20">
        <v>55283.298999999999</v>
      </c>
      <c r="S44" s="1">
        <v>96982.104000000007</v>
      </c>
      <c r="T44" s="51">
        <v>308062.94</v>
      </c>
      <c r="U44" s="1">
        <v>362804.98800000001</v>
      </c>
      <c r="V44" s="1">
        <v>917430.86</v>
      </c>
      <c r="W44" s="157">
        <v>1098159.9029999999</v>
      </c>
      <c r="X44" s="157">
        <v>1198735.2439999999</v>
      </c>
      <c r="Y44" s="157">
        <v>1973811.074</v>
      </c>
      <c r="Z44" s="157">
        <v>676742.25899999996</v>
      </c>
      <c r="AA44" s="157">
        <v>-2130926.6090000002</v>
      </c>
      <c r="AB44" s="157">
        <v>1069294.334</v>
      </c>
      <c r="AC44" s="157">
        <v>2049145</v>
      </c>
      <c r="AD44" s="1">
        <v>122119.02099999999</v>
      </c>
      <c r="AE44" s="1">
        <v>1125220.469</v>
      </c>
      <c r="AF44" s="1">
        <v>2131258.6439999999</v>
      </c>
      <c r="AG44" s="1">
        <v>478250.68</v>
      </c>
      <c r="AH44" s="1">
        <v>-232244.96799999999</v>
      </c>
      <c r="AI44" s="1">
        <v>1955513.1240000001</v>
      </c>
      <c r="AK44" s="1">
        <v>1174353.419</v>
      </c>
    </row>
    <row r="45" spans="1:37" ht="12.75" customHeight="1">
      <c r="A45" s="1" t="s">
        <v>57</v>
      </c>
      <c r="I45" s="157"/>
      <c r="J45" s="157">
        <v>11603.161</v>
      </c>
      <c r="M45" s="1">
        <v>10967.191000000001</v>
      </c>
      <c r="O45" s="1">
        <v>9882.1470000000008</v>
      </c>
      <c r="R45" s="20">
        <v>15917.772000000001</v>
      </c>
      <c r="S45" s="1">
        <v>16910.490000000002</v>
      </c>
      <c r="T45" s="51">
        <v>-56563.228999999999</v>
      </c>
      <c r="U45" s="1">
        <v>26699.531999999999</v>
      </c>
      <c r="V45" s="1">
        <v>31209.18</v>
      </c>
      <c r="W45" s="157">
        <v>35442.728000000003</v>
      </c>
      <c r="X45" s="157">
        <v>42711.917000000001</v>
      </c>
      <c r="Y45" s="157">
        <v>64347.23</v>
      </c>
      <c r="Z45" s="157">
        <v>47355.106</v>
      </c>
      <c r="AA45" s="157">
        <v>-264547.40299999999</v>
      </c>
      <c r="AB45" s="157">
        <v>58597.262999999999</v>
      </c>
      <c r="AC45" s="157">
        <v>184531</v>
      </c>
      <c r="AD45" s="1">
        <v>39481.39</v>
      </c>
      <c r="AE45" s="1">
        <v>126033.601</v>
      </c>
      <c r="AF45" s="1">
        <v>237975.12100000001</v>
      </c>
      <c r="AG45" s="1">
        <v>85067.748999999996</v>
      </c>
      <c r="AH45" s="1">
        <v>22701.279999999999</v>
      </c>
      <c r="AI45" s="1">
        <v>152280.88500000001</v>
      </c>
      <c r="AK45" s="1">
        <v>155377.31899999999</v>
      </c>
    </row>
    <row r="46" spans="1:37" ht="12.75" customHeight="1">
      <c r="A46" s="1" t="s">
        <v>58</v>
      </c>
      <c r="I46" s="157"/>
      <c r="J46" s="157">
        <v>8683.1630000000005</v>
      </c>
      <c r="M46" s="1">
        <v>9245.7199999999993</v>
      </c>
      <c r="O46" s="1">
        <v>13829.495999999999</v>
      </c>
      <c r="R46" s="20">
        <v>20578.955999999998</v>
      </c>
      <c r="S46" s="1">
        <v>37828.298999999999</v>
      </c>
      <c r="T46" s="51">
        <v>45730.834000000003</v>
      </c>
      <c r="U46" s="1">
        <v>53744.025000000001</v>
      </c>
      <c r="V46" s="1">
        <v>99608.985000000001</v>
      </c>
      <c r="W46" s="157">
        <v>77996.237999999998</v>
      </c>
      <c r="X46" s="157">
        <v>109560.732</v>
      </c>
      <c r="Y46" s="157">
        <v>174928.95699999999</v>
      </c>
      <c r="Z46" s="157">
        <v>33890.786</v>
      </c>
      <c r="AA46" s="157">
        <v>-104719.52899999999</v>
      </c>
      <c r="AB46" s="157">
        <v>124860.444</v>
      </c>
      <c r="AC46" s="157">
        <v>187891</v>
      </c>
      <c r="AD46" s="1">
        <v>25865.637999999999</v>
      </c>
      <c r="AE46" s="1">
        <v>136299.43299999999</v>
      </c>
      <c r="AF46" s="1">
        <v>197086.72200000001</v>
      </c>
      <c r="AG46" s="1">
        <v>44376.415999999997</v>
      </c>
      <c r="AH46" s="1">
        <v>20762.266</v>
      </c>
      <c r="AI46" s="1">
        <v>185324.91099999999</v>
      </c>
      <c r="AK46" s="1">
        <v>122780.053</v>
      </c>
    </row>
    <row r="47" spans="1:37" ht="12.75" customHeight="1">
      <c r="A47" s="1" t="s">
        <v>59</v>
      </c>
      <c r="I47" s="157"/>
      <c r="J47" s="157">
        <v>2717.6</v>
      </c>
      <c r="M47" s="1">
        <v>3192.8029999999999</v>
      </c>
      <c r="O47" s="1">
        <v>3008.174</v>
      </c>
      <c r="R47" s="27">
        <v>3323.2910000000002</v>
      </c>
      <c r="S47" s="1">
        <v>4124.8339999999998</v>
      </c>
      <c r="T47" s="51">
        <v>14446.695</v>
      </c>
      <c r="U47" s="1">
        <v>3035.0149999999999</v>
      </c>
      <c r="V47" s="1">
        <v>29216.053</v>
      </c>
      <c r="W47" s="157">
        <v>25783.348999999998</v>
      </c>
      <c r="X47" s="157">
        <v>44922.686000000002</v>
      </c>
      <c r="Y47" s="157">
        <v>47578.98</v>
      </c>
      <c r="Z47" s="157">
        <v>40157.535000000003</v>
      </c>
      <c r="AA47" s="157">
        <v>15552.775</v>
      </c>
      <c r="AB47" s="157">
        <v>17200.352999999999</v>
      </c>
      <c r="AC47" s="157">
        <v>30229</v>
      </c>
      <c r="AD47" s="1">
        <v>22474.827000000001</v>
      </c>
      <c r="AE47" s="1">
        <v>25001.433000000001</v>
      </c>
      <c r="AF47" s="1">
        <v>15368.307000000001</v>
      </c>
      <c r="AG47" s="1">
        <v>27968.721000000001</v>
      </c>
      <c r="AH47" s="1">
        <v>22277.251</v>
      </c>
      <c r="AI47" s="1">
        <v>46752.148999999998</v>
      </c>
      <c r="AK47" s="1">
        <v>29231.542000000001</v>
      </c>
    </row>
    <row r="48" spans="1:37" ht="12.75" customHeight="1">
      <c r="A48" s="1" t="s">
        <v>60</v>
      </c>
      <c r="I48" s="157"/>
      <c r="J48" s="157">
        <v>2310.0549999999998</v>
      </c>
      <c r="M48" s="1">
        <v>2388.0010000000002</v>
      </c>
      <c r="O48" s="1">
        <v>2818.183</v>
      </c>
      <c r="R48" s="20">
        <v>4368.6620000000003</v>
      </c>
      <c r="S48" s="1">
        <v>4311.7870000000003</v>
      </c>
      <c r="T48" s="51">
        <v>5253.6090000000004</v>
      </c>
      <c r="U48" s="1">
        <v>4520.2969999999996</v>
      </c>
      <c r="V48" s="1">
        <v>6596.7520000000004</v>
      </c>
      <c r="W48" s="157">
        <v>5320.7879999999996</v>
      </c>
      <c r="X48" s="157">
        <v>6831.4669999999996</v>
      </c>
      <c r="Y48" s="157">
        <v>13706.415000000001</v>
      </c>
      <c r="Z48" s="157">
        <v>7156.56</v>
      </c>
      <c r="AA48" s="157">
        <v>4297.91</v>
      </c>
      <c r="AB48" s="157">
        <v>8125.91</v>
      </c>
      <c r="AC48" s="157">
        <v>9932</v>
      </c>
      <c r="AD48" s="1">
        <v>3994.511</v>
      </c>
      <c r="AE48" s="1">
        <v>5993.518</v>
      </c>
      <c r="AF48" s="1">
        <v>7452.8429999999998</v>
      </c>
      <c r="AG48" s="1">
        <v>4539.3100000000004</v>
      </c>
      <c r="AH48" s="1">
        <v>4176.9080000000004</v>
      </c>
      <c r="AI48" s="1">
        <v>8256.0390000000007</v>
      </c>
      <c r="AK48" s="1">
        <v>9990.5159999999996</v>
      </c>
    </row>
    <row r="49" spans="1:37" ht="12.75" customHeight="1">
      <c r="A49" s="1" t="s">
        <v>61</v>
      </c>
      <c r="I49" s="157"/>
      <c r="J49" s="157">
        <v>33611.807000000001</v>
      </c>
      <c r="M49" s="1">
        <v>43153.845999999998</v>
      </c>
      <c r="O49" s="1">
        <v>49948.544000000002</v>
      </c>
      <c r="R49" s="20">
        <v>77249.558000000005</v>
      </c>
      <c r="S49" s="1">
        <v>64135.502999999997</v>
      </c>
      <c r="T49" s="51">
        <v>-56568.826000000001</v>
      </c>
      <c r="U49" s="1">
        <v>158524.42499999999</v>
      </c>
      <c r="V49" s="1">
        <v>536616.08400000003</v>
      </c>
      <c r="W49" s="157">
        <v>367420.01199999999</v>
      </c>
      <c r="X49" s="157">
        <v>521083.41700000002</v>
      </c>
      <c r="Y49" s="157">
        <v>883951.00600000005</v>
      </c>
      <c r="Z49" s="157">
        <v>-180149.15700000001</v>
      </c>
      <c r="AA49" s="157">
        <v>-888647.69700000004</v>
      </c>
      <c r="AB49" s="157">
        <v>541492.4</v>
      </c>
      <c r="AC49" s="157">
        <v>829207</v>
      </c>
      <c r="AD49" s="1">
        <v>70511.091</v>
      </c>
      <c r="AE49" s="1">
        <v>631533.04700000002</v>
      </c>
      <c r="AF49" s="1">
        <v>966317.68799999997</v>
      </c>
      <c r="AG49" s="1">
        <v>238024.785</v>
      </c>
      <c r="AH49" s="1">
        <v>-31709.221000000001</v>
      </c>
      <c r="AI49" s="1">
        <v>899555.03599999996</v>
      </c>
      <c r="AK49" s="1">
        <v>446846.65899999999</v>
      </c>
    </row>
    <row r="50" spans="1:37" ht="12.75" customHeight="1">
      <c r="A50" s="1" t="s">
        <v>62</v>
      </c>
      <c r="I50" s="157"/>
      <c r="J50" s="157">
        <v>33.061999999999998</v>
      </c>
      <c r="M50" s="1">
        <v>1033.0239999999999</v>
      </c>
      <c r="O50" s="1">
        <v>1147.3382799999999</v>
      </c>
      <c r="R50" s="20">
        <v>826.61400000000003</v>
      </c>
      <c r="S50" s="1">
        <v>180.45500000000001</v>
      </c>
      <c r="T50" s="51">
        <v>1168.896</v>
      </c>
      <c r="U50" s="1">
        <v>903.89700000000005</v>
      </c>
      <c r="V50" s="1">
        <v>1252.1510000000001</v>
      </c>
      <c r="W50" s="157">
        <v>1753.9949999999999</v>
      </c>
      <c r="X50" s="157">
        <v>1563.383</v>
      </c>
      <c r="Y50" s="157">
        <v>2353.8380000000002</v>
      </c>
      <c r="Z50" s="157">
        <v>2799.6390000000001</v>
      </c>
      <c r="AA50" s="157">
        <v>2754.9780000000001</v>
      </c>
      <c r="AB50" s="157">
        <v>4721.0510000000004</v>
      </c>
      <c r="AC50" s="157">
        <v>3433</v>
      </c>
      <c r="AD50" s="1">
        <v>6595.1549999999997</v>
      </c>
      <c r="AE50" s="1">
        <v>1551.711</v>
      </c>
      <c r="AF50" s="1">
        <v>1014.513</v>
      </c>
      <c r="AG50" s="1">
        <v>1216.0889999999999</v>
      </c>
      <c r="AH50" s="1">
        <v>1922.0350000000001</v>
      </c>
      <c r="AI50" s="1">
        <v>1569.366</v>
      </c>
      <c r="AK50" s="1">
        <v>2269.7669999999998</v>
      </c>
    </row>
    <row r="51" spans="1:37" ht="12.75" customHeight="1">
      <c r="A51" s="30" t="s">
        <v>63</v>
      </c>
      <c r="B51" s="30"/>
      <c r="C51" s="30"/>
      <c r="D51" s="30"/>
      <c r="E51" s="30"/>
      <c r="F51" s="30"/>
      <c r="G51" s="30"/>
      <c r="H51" s="30"/>
      <c r="I51" s="158"/>
      <c r="J51" s="158">
        <v>9583.3989999999994</v>
      </c>
      <c r="K51" s="30"/>
      <c r="L51" s="30"/>
      <c r="M51" s="30">
        <v>14969.775</v>
      </c>
      <c r="N51" s="30"/>
      <c r="O51" s="30">
        <v>12426.317999999999</v>
      </c>
      <c r="P51" s="30"/>
      <c r="Q51" s="30"/>
      <c r="R51" s="40">
        <v>12576.446</v>
      </c>
      <c r="S51" s="30">
        <v>14483.566000000001</v>
      </c>
      <c r="T51" s="68">
        <v>-12999.009</v>
      </c>
      <c r="U51" s="30">
        <v>13375.879000000001</v>
      </c>
      <c r="V51" s="30">
        <v>40932.661999999997</v>
      </c>
      <c r="W51" s="158">
        <v>37976.65</v>
      </c>
      <c r="X51" s="158">
        <v>49891.351999999999</v>
      </c>
      <c r="Y51" s="158">
        <v>72851.259999999995</v>
      </c>
      <c r="Z51" s="158">
        <v>13043.808000000001</v>
      </c>
      <c r="AA51" s="158">
        <v>-41737.417999999998</v>
      </c>
      <c r="AB51" s="158">
        <v>38241.415000000001</v>
      </c>
      <c r="AC51" s="158">
        <v>62397</v>
      </c>
      <c r="AD51" s="30">
        <v>979.84100000000001</v>
      </c>
      <c r="AE51" s="30">
        <v>38686.453000000001</v>
      </c>
      <c r="AF51" s="30">
        <v>60068.017999999996</v>
      </c>
      <c r="AG51" s="30">
        <v>5830.1909999999998</v>
      </c>
      <c r="AH51" s="30">
        <v>2442.6590000000001</v>
      </c>
      <c r="AI51" s="30">
        <v>54340.77</v>
      </c>
      <c r="AJ51" s="30"/>
      <c r="AK51" s="30">
        <v>80709.394</v>
      </c>
    </row>
    <row r="52" spans="1:37" ht="12.75" customHeight="1">
      <c r="A52" s="6" t="s">
        <v>64</v>
      </c>
      <c r="B52" s="6"/>
      <c r="C52" s="6"/>
      <c r="D52" s="6"/>
      <c r="I52" s="58"/>
      <c r="J52" s="58">
        <f>SUM(J54:J62)</f>
        <v>53621.279999999999</v>
      </c>
      <c r="M52" s="58">
        <f>SUM(M54:M62)</f>
        <v>66916.892999999996</v>
      </c>
      <c r="O52" s="58">
        <f>SUM(O54:O62)</f>
        <v>85401.639999999985</v>
      </c>
      <c r="R52" s="58">
        <f t="shared" ref="R52:AK52" si="17">SUM(R54:R62)</f>
        <v>104529.60999999999</v>
      </c>
      <c r="S52" s="58">
        <f t="shared" si="17"/>
        <v>122963.86499999999</v>
      </c>
      <c r="T52" s="67">
        <f t="shared" si="17"/>
        <v>128984.24899999998</v>
      </c>
      <c r="U52" s="58">
        <f t="shared" si="17"/>
        <v>158343.76699999999</v>
      </c>
      <c r="V52" s="58">
        <f t="shared" si="17"/>
        <v>186895.91800000001</v>
      </c>
      <c r="W52" s="58">
        <f t="shared" si="17"/>
        <v>255298.77200000003</v>
      </c>
      <c r="X52" s="58">
        <f t="shared" si="17"/>
        <v>306009.64600000001</v>
      </c>
      <c r="Y52" s="58">
        <f t="shared" si="17"/>
        <v>488628.52599999995</v>
      </c>
      <c r="Z52" s="58">
        <f t="shared" si="17"/>
        <v>277476.08600000001</v>
      </c>
      <c r="AA52" s="58">
        <f t="shared" si="17"/>
        <v>-35556.926000000007</v>
      </c>
      <c r="AB52" s="58">
        <f t="shared" si="17"/>
        <v>202518.41600000003</v>
      </c>
      <c r="AC52" s="58">
        <f t="shared" si="17"/>
        <v>268526</v>
      </c>
      <c r="AD52" s="58">
        <f t="shared" si="17"/>
        <v>82968.324999999997</v>
      </c>
      <c r="AE52" s="58">
        <f t="shared" si="17"/>
        <v>260772.42300000001</v>
      </c>
      <c r="AF52" s="58">
        <f t="shared" si="17"/>
        <v>381936.75699999998</v>
      </c>
      <c r="AG52" s="58">
        <f t="shared" si="17"/>
        <v>109756.15</v>
      </c>
      <c r="AH52" s="58">
        <f t="shared" si="17"/>
        <v>41873.494000000006</v>
      </c>
      <c r="AI52" s="58">
        <f t="shared" si="17"/>
        <v>403113.86</v>
      </c>
      <c r="AJ52" s="58">
        <f t="shared" si="17"/>
        <v>0</v>
      </c>
      <c r="AK52" s="58">
        <f t="shared" si="17"/>
        <v>451498.72900000005</v>
      </c>
    </row>
    <row r="53" spans="1:37" ht="12.75" customHeight="1">
      <c r="A53" s="6" t="s">
        <v>94</v>
      </c>
      <c r="B53" s="6"/>
      <c r="C53" s="6"/>
      <c r="D53" s="6"/>
      <c r="T53" s="51"/>
      <c r="AA53" s="10">
        <v>0</v>
      </c>
      <c r="AD53" s="1">
        <v>0</v>
      </c>
      <c r="AF53" s="1">
        <v>0</v>
      </c>
      <c r="AH53" s="1">
        <v>0</v>
      </c>
      <c r="AI53" s="1">
        <v>0</v>
      </c>
    </row>
    <row r="54" spans="1:37" ht="12.75" customHeight="1">
      <c r="A54" s="1" t="s">
        <v>65</v>
      </c>
      <c r="I54" s="157"/>
      <c r="J54" s="157">
        <v>137.21100000000001</v>
      </c>
      <c r="M54" s="1">
        <v>29.103999999999999</v>
      </c>
      <c r="O54" s="1">
        <v>277.24900000000002</v>
      </c>
      <c r="R54" s="20">
        <v>1271.5329999999999</v>
      </c>
      <c r="S54" s="1">
        <v>2172.759</v>
      </c>
      <c r="T54" s="51">
        <v>9442.31</v>
      </c>
      <c r="U54" s="1">
        <v>10048.584999999999</v>
      </c>
      <c r="V54" s="1">
        <v>5482.4480000000003</v>
      </c>
      <c r="W54" s="157">
        <v>9520.9069999999992</v>
      </c>
      <c r="X54" s="157">
        <v>21042.727999999999</v>
      </c>
      <c r="Y54" s="157">
        <v>26591.030999999999</v>
      </c>
      <c r="Z54" s="157">
        <v>24241.18</v>
      </c>
      <c r="AA54" s="157">
        <v>12773.999</v>
      </c>
      <c r="AB54" s="157">
        <v>4455.7120000000004</v>
      </c>
      <c r="AC54" s="157">
        <v>1650</v>
      </c>
      <c r="AD54" s="1">
        <v>1314.86</v>
      </c>
      <c r="AE54" s="1">
        <v>1343.6780000000001</v>
      </c>
      <c r="AF54" s="1">
        <v>2109.1419999999998</v>
      </c>
      <c r="AG54" s="1">
        <v>898.58900000000006</v>
      </c>
      <c r="AH54" s="1">
        <v>1653.3889999999999</v>
      </c>
      <c r="AI54" s="1">
        <v>5503.8919999999998</v>
      </c>
      <c r="AK54" s="1">
        <v>19823.82</v>
      </c>
    </row>
    <row r="55" spans="1:37" ht="12.75" customHeight="1">
      <c r="A55" s="1" t="s">
        <v>66</v>
      </c>
      <c r="I55" s="157"/>
      <c r="J55" s="157">
        <v>1312.164</v>
      </c>
      <c r="M55" s="1">
        <v>2295.3620000000001</v>
      </c>
      <c r="O55" s="1">
        <v>3026.549</v>
      </c>
      <c r="R55" s="20">
        <v>4398.8680000000004</v>
      </c>
      <c r="S55" s="1">
        <v>4738.5249999999996</v>
      </c>
      <c r="T55" s="51">
        <v>-5763.9880000000003</v>
      </c>
      <c r="U55" s="1">
        <v>3946.8530000000001</v>
      </c>
      <c r="V55" s="1">
        <v>15217.239</v>
      </c>
      <c r="W55" s="157">
        <v>9347.4179999999997</v>
      </c>
      <c r="X55" s="157">
        <v>12030.3</v>
      </c>
      <c r="Y55" s="157">
        <v>18221.501</v>
      </c>
      <c r="Z55" s="157">
        <v>-596.30100000000004</v>
      </c>
      <c r="AA55" s="157">
        <v>-16371.932000000001</v>
      </c>
      <c r="AB55" s="157">
        <v>11835.406000000001</v>
      </c>
      <c r="AC55" s="157">
        <v>21434</v>
      </c>
      <c r="AD55" s="1">
        <v>-1306.8499999999999</v>
      </c>
      <c r="AE55" s="1">
        <v>14970.575000000001</v>
      </c>
      <c r="AF55" s="1">
        <v>22119.187999999998</v>
      </c>
      <c r="AG55" s="1">
        <v>-220.505</v>
      </c>
      <c r="AH55" s="1">
        <v>-1198.722</v>
      </c>
      <c r="AI55" s="1">
        <v>17143.424999999999</v>
      </c>
      <c r="AK55" s="1">
        <v>8573.9930000000004</v>
      </c>
    </row>
    <row r="56" spans="1:37" ht="12.75" customHeight="1">
      <c r="A56" s="1" t="s">
        <v>67</v>
      </c>
      <c r="I56" s="157"/>
      <c r="J56" s="157">
        <v>934.58399999999995</v>
      </c>
      <c r="M56" s="1">
        <v>2290.7640000000001</v>
      </c>
      <c r="O56" s="1">
        <v>1187.873</v>
      </c>
      <c r="R56" s="20">
        <v>3314.4459999999999</v>
      </c>
      <c r="S56" s="1">
        <v>1587.8779999999999</v>
      </c>
      <c r="T56" s="51">
        <v>28080.887999999999</v>
      </c>
      <c r="U56" s="1">
        <v>24372.544999999998</v>
      </c>
      <c r="V56" s="1">
        <v>28102.21</v>
      </c>
      <c r="W56" s="157">
        <v>36930.212</v>
      </c>
      <c r="X56" s="157">
        <v>45612.281000000003</v>
      </c>
      <c r="Y56" s="157">
        <v>92083.865999999995</v>
      </c>
      <c r="Z56" s="157">
        <v>31699.585999999999</v>
      </c>
      <c r="AA56" s="157">
        <v>6851.0590000000002</v>
      </c>
      <c r="AB56" s="157">
        <v>64874.870999999999</v>
      </c>
      <c r="AC56" s="157">
        <v>84121</v>
      </c>
      <c r="AD56" s="1">
        <v>39402.855000000003</v>
      </c>
      <c r="AE56" s="1">
        <v>66772.36</v>
      </c>
      <c r="AF56" s="1">
        <v>102983.557</v>
      </c>
      <c r="AG56" s="1">
        <v>20179.985000000001</v>
      </c>
      <c r="AH56" s="1">
        <v>12455.624</v>
      </c>
      <c r="AI56" s="1">
        <v>87641.209000000003</v>
      </c>
      <c r="AK56" s="1">
        <v>105477.928</v>
      </c>
    </row>
    <row r="57" spans="1:37" ht="12.75" customHeight="1">
      <c r="A57" s="1" t="s">
        <v>68</v>
      </c>
      <c r="I57" s="157"/>
      <c r="J57" s="157">
        <v>2034.2370000000001</v>
      </c>
      <c r="M57" s="1">
        <v>2177.1999999999998</v>
      </c>
      <c r="O57" s="1">
        <v>2905.3130000000001</v>
      </c>
      <c r="R57" s="27">
        <v>7297.058</v>
      </c>
      <c r="S57" s="1">
        <v>8724.1450000000004</v>
      </c>
      <c r="T57" s="51">
        <v>8732.5010000000002</v>
      </c>
      <c r="U57" s="1">
        <v>4191.1180000000004</v>
      </c>
      <c r="V57" s="1">
        <v>4168.2330000000002</v>
      </c>
      <c r="W57" s="157">
        <v>4615.6260000000002</v>
      </c>
      <c r="X57" s="157">
        <v>7008.7110000000002</v>
      </c>
      <c r="Y57" s="157">
        <v>4603.8770000000004</v>
      </c>
      <c r="Z57" s="157">
        <v>5075.1120000000001</v>
      </c>
      <c r="AA57" s="157">
        <v>-56560.974999999999</v>
      </c>
      <c r="AB57" s="157">
        <v>4985.8</v>
      </c>
      <c r="AC57" s="157">
        <v>5262</v>
      </c>
      <c r="AD57" s="1">
        <v>-4214.5649999999996</v>
      </c>
      <c r="AE57" s="1">
        <v>5550.1959999999999</v>
      </c>
      <c r="AF57" s="1">
        <v>5873.5339999999997</v>
      </c>
      <c r="AG57" s="1">
        <v>5994.9690000000001</v>
      </c>
      <c r="AH57" s="1">
        <v>-19137.177</v>
      </c>
      <c r="AI57" s="1">
        <v>6402.6090000000004</v>
      </c>
      <c r="AK57" s="1">
        <v>34617.898999999998</v>
      </c>
    </row>
    <row r="58" spans="1:37" ht="12.75" customHeight="1">
      <c r="A58" s="1" t="s">
        <v>69</v>
      </c>
      <c r="I58" s="157"/>
      <c r="J58" s="157">
        <v>2035.0730000000001</v>
      </c>
      <c r="M58" s="1">
        <v>1721.9680000000001</v>
      </c>
      <c r="O58" s="1">
        <v>13741.241</v>
      </c>
      <c r="R58" s="27">
        <v>2899.67</v>
      </c>
      <c r="S58" s="1">
        <v>6175.1260000000002</v>
      </c>
      <c r="T58" s="51">
        <v>42310.813999999998</v>
      </c>
      <c r="U58" s="1">
        <v>44704.394999999997</v>
      </c>
      <c r="V58" s="1">
        <v>28359.68</v>
      </c>
      <c r="W58" s="157">
        <v>55521.052000000003</v>
      </c>
      <c r="X58" s="157">
        <v>78925.417000000001</v>
      </c>
      <c r="Y58" s="157">
        <v>113443.429</v>
      </c>
      <c r="Z58" s="157">
        <v>91430.629000000001</v>
      </c>
      <c r="AA58" s="157">
        <v>25559.041000000001</v>
      </c>
      <c r="AB58" s="157">
        <v>45087.14</v>
      </c>
      <c r="AC58" s="157">
        <v>46064</v>
      </c>
      <c r="AD58" s="1">
        <v>27469.348000000002</v>
      </c>
      <c r="AE58" s="1">
        <v>95350.014999999999</v>
      </c>
      <c r="AF58" s="1">
        <v>155689.51500000001</v>
      </c>
      <c r="AG58" s="1">
        <v>56393.413999999997</v>
      </c>
      <c r="AH58" s="1">
        <v>26852.656999999999</v>
      </c>
      <c r="AI58" s="1">
        <v>186612.72</v>
      </c>
      <c r="AK58" s="1">
        <v>147739.43900000001</v>
      </c>
    </row>
    <row r="59" spans="1:37" ht="12.75" customHeight="1">
      <c r="A59" s="1" t="s">
        <v>70</v>
      </c>
      <c r="I59" s="157"/>
      <c r="J59" s="157">
        <v>14665.453</v>
      </c>
      <c r="M59" s="1">
        <v>15780.050999999999</v>
      </c>
      <c r="O59" s="1">
        <v>15509.546</v>
      </c>
      <c r="R59" s="27">
        <v>21434.978999999999</v>
      </c>
      <c r="S59" s="1">
        <v>27434.594000000001</v>
      </c>
      <c r="T59" s="51">
        <v>1732.644</v>
      </c>
      <c r="U59" s="1">
        <v>38300.1</v>
      </c>
      <c r="V59" s="1">
        <v>43411.17</v>
      </c>
      <c r="W59" s="157">
        <v>85937.273000000001</v>
      </c>
      <c r="X59" s="157">
        <v>74709.542000000001</v>
      </c>
      <c r="Y59" s="157">
        <v>112834.818</v>
      </c>
      <c r="Z59" s="157">
        <v>80449.171000000002</v>
      </c>
      <c r="AA59" s="157">
        <v>38602.453999999998</v>
      </c>
      <c r="AB59" s="157">
        <v>18985.828000000001</v>
      </c>
      <c r="AC59" s="157">
        <v>18298</v>
      </c>
      <c r="AD59" s="1">
        <v>10335.857</v>
      </c>
      <c r="AE59" s="1">
        <v>9968.6119999999992</v>
      </c>
      <c r="AF59" s="1">
        <v>9020.9269999999997</v>
      </c>
      <c r="AG59" s="1">
        <v>7671.4210000000003</v>
      </c>
      <c r="AH59" s="1">
        <v>14086.527</v>
      </c>
      <c r="AI59" s="1">
        <v>21132.258999999998</v>
      </c>
      <c r="AK59" s="1">
        <v>69857.460999999996</v>
      </c>
    </row>
    <row r="60" spans="1:37" ht="12.75" customHeight="1">
      <c r="A60" s="1" t="s">
        <v>71</v>
      </c>
      <c r="I60" s="157"/>
      <c r="J60" s="157">
        <v>28089.877</v>
      </c>
      <c r="M60" s="1">
        <v>37844.434999999998</v>
      </c>
      <c r="O60" s="1">
        <v>42685.870999999999</v>
      </c>
      <c r="R60" s="20">
        <v>57322.392999999996</v>
      </c>
      <c r="S60" s="1">
        <v>64043.411</v>
      </c>
      <c r="T60" s="51">
        <v>46812.055</v>
      </c>
      <c r="U60" s="1">
        <v>17535.718000000001</v>
      </c>
      <c r="V60" s="1">
        <v>16698.431</v>
      </c>
      <c r="W60" s="157">
        <v>16984.432000000001</v>
      </c>
      <c r="X60" s="157">
        <v>26062.396000000001</v>
      </c>
      <c r="Y60" s="157">
        <v>41687.873</v>
      </c>
      <c r="Z60" s="157">
        <v>35564.713000000003</v>
      </c>
      <c r="AA60" s="157">
        <v>22165.825000000001</v>
      </c>
      <c r="AB60" s="157">
        <v>20228.637999999999</v>
      </c>
      <c r="AC60" s="157">
        <v>20141</v>
      </c>
      <c r="AD60" s="1">
        <v>14177.098</v>
      </c>
      <c r="AE60" s="1">
        <v>16927.198</v>
      </c>
      <c r="AF60" s="1">
        <v>19767.620999999999</v>
      </c>
      <c r="AG60" s="1">
        <v>13738.294</v>
      </c>
      <c r="AH60" s="1">
        <v>13152.739</v>
      </c>
      <c r="AI60" s="1">
        <v>23556.632000000001</v>
      </c>
      <c r="AK60" s="1">
        <v>34162.523999999998</v>
      </c>
    </row>
    <row r="61" spans="1:37" ht="12.75" customHeight="1">
      <c r="A61" s="1" t="s">
        <v>72</v>
      </c>
      <c r="I61" s="157"/>
      <c r="J61" s="157">
        <v>0</v>
      </c>
      <c r="M61" s="1">
        <v>0</v>
      </c>
      <c r="O61" s="1">
        <v>0</v>
      </c>
      <c r="R61" s="20">
        <v>0</v>
      </c>
      <c r="S61" s="1">
        <v>0</v>
      </c>
      <c r="T61" s="51">
        <v>2125.2240000000002</v>
      </c>
      <c r="U61" s="1">
        <v>517.05999999999995</v>
      </c>
      <c r="V61" s="1">
        <v>510.84199999999998</v>
      </c>
      <c r="W61" s="157">
        <v>1281.002</v>
      </c>
      <c r="X61" s="157">
        <v>2167.5880000000002</v>
      </c>
      <c r="Y61" s="157">
        <v>4721.2690000000002</v>
      </c>
      <c r="Z61" s="157">
        <v>4530.0590000000002</v>
      </c>
      <c r="AA61" s="157">
        <v>1737.9369999999999</v>
      </c>
      <c r="AB61" s="157">
        <v>682.92399999999998</v>
      </c>
      <c r="AC61" s="157">
        <v>613</v>
      </c>
      <c r="AD61" s="1">
        <v>381.161</v>
      </c>
      <c r="AE61" s="1">
        <v>360.33100000000002</v>
      </c>
      <c r="AF61" s="1">
        <v>359.85399999999998</v>
      </c>
      <c r="AG61" s="1">
        <v>398.67599999999999</v>
      </c>
      <c r="AH61" s="1">
        <v>529.85799999999995</v>
      </c>
      <c r="AI61" s="1">
        <v>853.21100000000001</v>
      </c>
      <c r="AK61" s="1">
        <v>4745.8360000000002</v>
      </c>
    </row>
    <row r="62" spans="1:37" ht="12.75" customHeight="1">
      <c r="A62" s="30" t="s">
        <v>73</v>
      </c>
      <c r="B62" s="30"/>
      <c r="C62" s="30"/>
      <c r="D62" s="30"/>
      <c r="E62" s="30"/>
      <c r="F62" s="30"/>
      <c r="G62" s="30"/>
      <c r="H62" s="30"/>
      <c r="I62" s="158"/>
      <c r="J62" s="158">
        <v>4412.6809999999996</v>
      </c>
      <c r="K62" s="30"/>
      <c r="L62" s="30"/>
      <c r="M62" s="30">
        <v>4778.009</v>
      </c>
      <c r="N62" s="30"/>
      <c r="O62" s="30">
        <v>6067.9979999999996</v>
      </c>
      <c r="P62" s="30"/>
      <c r="Q62" s="30"/>
      <c r="R62" s="40">
        <v>6590.6629999999996</v>
      </c>
      <c r="S62" s="30">
        <v>8087.4269999999997</v>
      </c>
      <c r="T62" s="68">
        <v>-4488.1989999999996</v>
      </c>
      <c r="U62" s="30">
        <v>14727.393</v>
      </c>
      <c r="V62" s="30">
        <v>44945.665000000001</v>
      </c>
      <c r="W62" s="158">
        <v>35160.85</v>
      </c>
      <c r="X62" s="158">
        <v>38450.682999999997</v>
      </c>
      <c r="Y62" s="158">
        <v>74440.861999999994</v>
      </c>
      <c r="Z62" s="158">
        <v>5081.9369999999999</v>
      </c>
      <c r="AA62" s="158">
        <v>-70314.334000000003</v>
      </c>
      <c r="AB62" s="158">
        <v>31382.097000000002</v>
      </c>
      <c r="AC62" s="158">
        <v>70943</v>
      </c>
      <c r="AD62" s="30">
        <v>-4591.4390000000003</v>
      </c>
      <c r="AE62" s="30">
        <v>49529.457999999999</v>
      </c>
      <c r="AF62" s="30">
        <v>64013.419000000002</v>
      </c>
      <c r="AG62" s="30">
        <v>4701.3069999999998</v>
      </c>
      <c r="AH62" s="30">
        <v>-6521.4009999999998</v>
      </c>
      <c r="AI62" s="30">
        <v>54267.902999999998</v>
      </c>
      <c r="AJ62" s="30"/>
      <c r="AK62" s="30">
        <v>26499.829000000002</v>
      </c>
    </row>
    <row r="63" spans="1:37">
      <c r="A63" s="56" t="s">
        <v>74</v>
      </c>
      <c r="B63" s="56"/>
      <c r="C63" s="56"/>
      <c r="D63" s="56"/>
      <c r="E63" s="53"/>
      <c r="F63" s="53"/>
      <c r="G63" s="53"/>
      <c r="H63" s="53"/>
      <c r="I63" s="159"/>
      <c r="J63" s="159">
        <v>1241.162</v>
      </c>
      <c r="K63" s="53"/>
      <c r="L63" s="53"/>
      <c r="M63" s="53">
        <v>745.04499999999996</v>
      </c>
      <c r="N63" s="53"/>
      <c r="O63" s="53">
        <v>827.49194</v>
      </c>
      <c r="P63" s="53"/>
      <c r="Q63" s="53"/>
      <c r="R63" s="54">
        <v>551.29999999999995</v>
      </c>
      <c r="S63" s="53">
        <v>1533.7829999999999</v>
      </c>
      <c r="T63" s="55">
        <v>1681.6859999999999</v>
      </c>
      <c r="U63" s="53">
        <v>2017.299</v>
      </c>
      <c r="V63" s="53">
        <v>2417.2069999999999</v>
      </c>
      <c r="W63" s="159">
        <v>3997.7130000000002</v>
      </c>
      <c r="X63" s="159">
        <v>3440.337</v>
      </c>
      <c r="Y63" s="159">
        <v>6877.5510000000004</v>
      </c>
      <c r="Z63" s="159">
        <v>-7496.6379999999999</v>
      </c>
      <c r="AA63" s="159">
        <v>958.56100000000004</v>
      </c>
      <c r="AB63" s="159">
        <v>2303.19</v>
      </c>
      <c r="AC63" s="159">
        <v>935</v>
      </c>
      <c r="AD63" s="30">
        <v>5386.7550000000001</v>
      </c>
      <c r="AE63" s="30">
        <v>2715.366</v>
      </c>
      <c r="AF63" s="30">
        <v>3755.768</v>
      </c>
      <c r="AG63" s="30">
        <v>-1252.69</v>
      </c>
      <c r="AH63" s="30">
        <v>5401.2830000000004</v>
      </c>
      <c r="AI63" s="30">
        <v>4747.3890000000001</v>
      </c>
      <c r="AJ63" s="30"/>
      <c r="AK63" s="30">
        <v>358.37700000000001</v>
      </c>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5:210" ht="9.9499999999999993" customHeight="1"/>
    <row r="82" spans="5:210" ht="9.9499999999999993" customHeight="1">
      <c r="GT82" s="4"/>
      <c r="GU82" s="4"/>
      <c r="GV82" s="4"/>
      <c r="GW82" s="4"/>
      <c r="GX82" s="4"/>
      <c r="GY82" s="4"/>
      <c r="GZ82" s="4"/>
      <c r="HA82" s="4"/>
      <c r="HB82" s="4"/>
    </row>
    <row r="83" spans="5:210">
      <c r="GR83" s="4"/>
      <c r="GS83" s="4"/>
      <c r="GT83" s="4"/>
      <c r="GU83" s="4"/>
      <c r="GV83" s="4"/>
      <c r="GW83" s="4"/>
      <c r="GX83" s="4"/>
      <c r="GY83" s="4"/>
      <c r="GZ83" s="4"/>
      <c r="HA83" s="4"/>
      <c r="HB83" s="4"/>
    </row>
    <row r="84" spans="5:210">
      <c r="GR84" s="4"/>
      <c r="GS84" s="4"/>
      <c r="GT84" s="4"/>
      <c r="GU84" s="4"/>
      <c r="GV84" s="4"/>
      <c r="GW84" s="4"/>
      <c r="GX84" s="4"/>
      <c r="GY84" s="4"/>
      <c r="GZ84" s="4"/>
      <c r="HA84" s="4"/>
      <c r="HB84" s="4"/>
    </row>
    <row r="85" spans="5:210">
      <c r="GT85" s="4"/>
      <c r="GU85" s="4"/>
      <c r="GV85" s="4"/>
      <c r="GW85" s="4"/>
      <c r="GX85" s="4"/>
      <c r="GY85" s="4"/>
      <c r="GZ85" s="4"/>
    </row>
    <row r="86" spans="5:210">
      <c r="GT86" s="4"/>
      <c r="GU86" s="4"/>
      <c r="GV86" s="4"/>
      <c r="GW86" s="4"/>
      <c r="GX86" s="4"/>
      <c r="GY86" s="4"/>
      <c r="GZ86" s="4"/>
    </row>
    <row r="87" spans="5:210">
      <c r="GT87" s="4"/>
      <c r="GU87" s="4"/>
      <c r="GV87" s="4"/>
      <c r="GW87" s="4"/>
      <c r="GX87" s="4"/>
      <c r="GY87" s="4"/>
      <c r="GZ87" s="4"/>
    </row>
    <row r="92" spans="5:210">
      <c r="E92" s="12"/>
      <c r="F92" s="12"/>
      <c r="G92" s="12"/>
      <c r="H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10">
    <tabColor indexed="62"/>
  </sheetPr>
  <dimension ref="A1:HB92"/>
  <sheetViews>
    <sheetView showZeros="0" zoomScaleNormal="100" workbookViewId="0">
      <pane xSplit="1" ySplit="3" topLeftCell="AA4" activePane="bottomRight" state="frozen"/>
      <selection pane="topRight" activeCell="M5" sqref="M5:M6"/>
      <selection pane="bottomLeft" activeCell="M5" sqref="M5:M6"/>
      <selection pane="bottomRight" activeCell="AK7" sqref="AK7:AK22"/>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157</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133">
        <v>2013</v>
      </c>
      <c r="AF3" s="32">
        <v>2014</v>
      </c>
      <c r="AG3" s="32">
        <v>2015</v>
      </c>
      <c r="AH3" s="32">
        <v>2016</v>
      </c>
      <c r="AI3" s="32">
        <v>2017</v>
      </c>
      <c r="AJ3" s="131">
        <v>2018</v>
      </c>
      <c r="AK3" s="131">
        <v>2019</v>
      </c>
    </row>
    <row r="4" spans="1:39" ht="12.75" customHeight="1">
      <c r="A4" s="53" t="s">
        <v>19</v>
      </c>
      <c r="B4" s="53">
        <f>266356+697367+482292+64149+874523+535848+583381+21072</f>
        <v>3524988</v>
      </c>
      <c r="C4" s="53">
        <f>328737+758349+528489+67468+950020+619431+692410+38037</f>
        <v>3982941</v>
      </c>
      <c r="D4" s="53">
        <f>345060+837534+610150+72877+993817+701998+736678+64829</f>
        <v>4362943</v>
      </c>
      <c r="E4" s="53"/>
      <c r="F4" s="53"/>
      <c r="G4" s="53"/>
      <c r="H4" s="53"/>
      <c r="I4" s="53">
        <f>488978.473+2620699.752+1965863.646+466081.614</f>
        <v>5541623.4849999994</v>
      </c>
      <c r="J4" s="61">
        <f>+J5+J23+J38+J52+J63</f>
        <v>5519392.654000001</v>
      </c>
      <c r="K4" s="53">
        <f>527691.757+3109663.96+2412742.385+211102.176</f>
        <v>6261200.2779999999</v>
      </c>
      <c r="L4" s="53">
        <f>589721.36+3188604.696+2479043.474+192118.999</f>
        <v>6449488.5289999992</v>
      </c>
      <c r="M4" s="61">
        <f t="shared" ref="M4" si="0">+M5+M23+M38+M52+M63</f>
        <v>6572131.0879999995</v>
      </c>
      <c r="N4" s="63">
        <f>569607.705+3379692.839+3338491.71+240081.66</f>
        <v>7527873.9140000008</v>
      </c>
      <c r="O4" s="61">
        <f>+O5+O23+O38+O52+O63</f>
        <v>8142816.4443600001</v>
      </c>
      <c r="P4" s="53"/>
      <c r="Q4" s="53"/>
      <c r="R4" s="61">
        <f t="shared" ref="R4:AA4" si="1">+R5+R23+R38+R52+R63</f>
        <v>9916298.2279999983</v>
      </c>
      <c r="S4" s="61">
        <f t="shared" si="1"/>
        <v>9575283.6349999998</v>
      </c>
      <c r="T4" s="66">
        <f t="shared" si="1"/>
        <v>10948532.659000002</v>
      </c>
      <c r="U4" s="61">
        <f t="shared" si="1"/>
        <v>11085403.099000001</v>
      </c>
      <c r="V4" s="61">
        <f t="shared" si="1"/>
        <v>12036239.547</v>
      </c>
      <c r="W4" s="61">
        <f t="shared" si="1"/>
        <v>13979123.051999999</v>
      </c>
      <c r="X4" s="61">
        <f t="shared" si="1"/>
        <v>12988254.914999999</v>
      </c>
      <c r="Y4" s="61">
        <f t="shared" si="1"/>
        <v>14639821.884</v>
      </c>
      <c r="Z4" s="61">
        <f t="shared" si="1"/>
        <v>14863096.987000002</v>
      </c>
      <c r="AA4" s="61">
        <f t="shared" si="1"/>
        <v>12771749.829</v>
      </c>
      <c r="AB4" s="61">
        <f t="shared" ref="AB4:AC4" si="2">+AB5+AB23+AB38+AB52+AB63</f>
        <v>19269160.169000003</v>
      </c>
      <c r="AC4" s="61">
        <f t="shared" si="2"/>
        <v>20126659</v>
      </c>
      <c r="AD4" s="61">
        <f t="shared" ref="AD4:AE4" si="3">+AD5+AD23+AD38+AD52+AD63</f>
        <v>19670676.131000001</v>
      </c>
      <c r="AE4" s="61">
        <f t="shared" si="3"/>
        <v>18714592.493999999</v>
      </c>
      <c r="AF4" s="61">
        <f t="shared" ref="AF4" si="4">+AF5+AF23+AF38+AF52+AF63</f>
        <v>12389490.956999999</v>
      </c>
      <c r="AG4" s="61">
        <f t="shared" ref="AG4:AI4" si="5">+AG5+AG23+AG38+AG52+AG63</f>
        <v>22756790.218000002</v>
      </c>
      <c r="AH4" s="61">
        <f t="shared" si="5"/>
        <v>24944390.892000001</v>
      </c>
      <c r="AI4" s="61">
        <f t="shared" si="5"/>
        <v>26848783.036000002</v>
      </c>
      <c r="AJ4" s="61">
        <f t="shared" ref="AJ4:AK4" si="6">+AJ5+AJ23+AJ38+AJ52+AJ63</f>
        <v>0</v>
      </c>
      <c r="AK4" s="61">
        <f t="shared" si="6"/>
        <v>28011106.477000002</v>
      </c>
    </row>
    <row r="5" spans="1:39" ht="12.75" customHeight="1">
      <c r="A5" s="1" t="s">
        <v>20</v>
      </c>
      <c r="B5" s="58">
        <f>SUM(B7:B22)</f>
        <v>979577</v>
      </c>
      <c r="C5" s="58">
        <f t="shared" ref="C5:D5" si="7">SUM(C7:C22)</f>
        <v>1127072</v>
      </c>
      <c r="D5" s="58">
        <f t="shared" si="7"/>
        <v>1331090</v>
      </c>
      <c r="I5" s="58">
        <f t="shared" ref="I5:O5" si="8">SUM(I7:I22)</f>
        <v>1912914.7439999999</v>
      </c>
      <c r="J5" s="58">
        <f t="shared" si="8"/>
        <v>1952498.4650000001</v>
      </c>
      <c r="K5" s="58">
        <f t="shared" si="8"/>
        <v>2104365.9589999993</v>
      </c>
      <c r="L5" s="58">
        <f t="shared" si="8"/>
        <v>2155203.8360000006</v>
      </c>
      <c r="M5" s="58">
        <f t="shared" si="8"/>
        <v>2416988.2460000003</v>
      </c>
      <c r="N5" s="58">
        <f t="shared" si="8"/>
        <v>2652972.8742999998</v>
      </c>
      <c r="O5" s="58">
        <f t="shared" si="8"/>
        <v>2855168.0561100002</v>
      </c>
      <c r="R5" s="58">
        <f t="shared" ref="R5:Y5" si="9">SUM(R7:R22)</f>
        <v>3497484.0719999997</v>
      </c>
      <c r="S5" s="58">
        <f t="shared" si="9"/>
        <v>3363436.9529999997</v>
      </c>
      <c r="T5" s="67">
        <f t="shared" si="9"/>
        <v>4660466.4710000008</v>
      </c>
      <c r="U5" s="58">
        <f t="shared" si="9"/>
        <v>4501087.3449999997</v>
      </c>
      <c r="V5" s="58">
        <f t="shared" si="9"/>
        <v>4509832.22</v>
      </c>
      <c r="W5" s="58">
        <f t="shared" si="9"/>
        <v>5228080.2849999992</v>
      </c>
      <c r="X5" s="58">
        <f t="shared" si="9"/>
        <v>4820059.5879999995</v>
      </c>
      <c r="Y5" s="58">
        <f t="shared" si="9"/>
        <v>5705396.9859999996</v>
      </c>
      <c r="Z5" s="58">
        <f>SUM(Z7:Z22)</f>
        <v>5742870.1280000005</v>
      </c>
      <c r="AA5" s="58">
        <f>SUM(AA7:AA22)</f>
        <v>4106890.7949999999</v>
      </c>
      <c r="AB5" s="58">
        <f>SUM(AB7:AB22)</f>
        <v>7763296.415000001</v>
      </c>
      <c r="AC5" s="58">
        <f>SUM(AC7:AC22)</f>
        <v>7487723</v>
      </c>
      <c r="AD5" s="58">
        <f t="shared" ref="AD5:AE5" si="10">SUM(AD7:AD22)</f>
        <v>6721897.0340000009</v>
      </c>
      <c r="AE5" s="58">
        <f t="shared" si="10"/>
        <v>5553018.1260000002</v>
      </c>
      <c r="AF5" s="58">
        <f>SUM(AF7:AF22)</f>
        <v>3551395.1340000001</v>
      </c>
      <c r="AG5" s="58">
        <f t="shared" ref="AG5:AI5" si="11">SUM(AG7:AG22)</f>
        <v>6958497.0410000002</v>
      </c>
      <c r="AH5" s="58">
        <f t="shared" si="11"/>
        <v>8973829.4030000009</v>
      </c>
      <c r="AI5" s="58">
        <f t="shared" si="11"/>
        <v>10123518.509</v>
      </c>
      <c r="AJ5" s="58">
        <f t="shared" ref="AJ5:AK5" si="12">SUM(AJ7:AJ22)</f>
        <v>0</v>
      </c>
      <c r="AK5" s="58">
        <f t="shared" si="12"/>
        <v>10704501.002</v>
      </c>
    </row>
    <row r="6" spans="1:39" ht="12.75" customHeight="1">
      <c r="A6" s="6" t="s">
        <v>94</v>
      </c>
      <c r="J6" s="157"/>
      <c r="R6" s="20"/>
      <c r="T6" s="51"/>
      <c r="AA6" s="10">
        <v>0</v>
      </c>
    </row>
    <row r="7" spans="1:39" ht="12.75" customHeight="1">
      <c r="A7" s="1" t="s">
        <v>21</v>
      </c>
      <c r="B7" s="1">
        <f>11501+9725+11893+10108+18194</f>
        <v>61421</v>
      </c>
      <c r="C7" s="1">
        <f>10739+10162+12517+0+18+9176+20039+0</f>
        <v>62651</v>
      </c>
      <c r="D7" s="1">
        <f>10211+9990+14134+0+18+9794+18644+0</f>
        <v>62791</v>
      </c>
      <c r="I7" s="1">
        <f>17276.56+34933.773+51788.756+0</f>
        <v>103999.08900000001</v>
      </c>
      <c r="J7" s="157">
        <v>105123.63099999999</v>
      </c>
      <c r="K7" s="1">
        <f>17818.728+36116.859+52436.144</f>
        <v>106371.731</v>
      </c>
      <c r="L7" s="1">
        <f>17741.4+40927.962+79308.831</f>
        <v>137978.193</v>
      </c>
      <c r="M7" s="1">
        <v>171002.39300000001</v>
      </c>
      <c r="N7" s="1">
        <f>17961.273+51906.66+90115.869+0</f>
        <v>159983.80200000003</v>
      </c>
      <c r="O7" s="1">
        <v>177061.038</v>
      </c>
      <c r="R7" s="27">
        <v>183343.77299999999</v>
      </c>
      <c r="S7" s="1">
        <v>212381.095</v>
      </c>
      <c r="T7" s="51">
        <v>404223.04700000002</v>
      </c>
      <c r="U7" s="1">
        <v>163387.60999999999</v>
      </c>
      <c r="V7" s="1">
        <v>270089.09399999998</v>
      </c>
      <c r="W7" s="157">
        <v>161364.79300000001</v>
      </c>
      <c r="X7" s="157">
        <v>225876.47399999999</v>
      </c>
      <c r="Y7" s="157">
        <v>230225.72399999999</v>
      </c>
      <c r="Z7" s="157">
        <v>531303.65399999998</v>
      </c>
      <c r="AA7" s="157">
        <v>472240.04200000002</v>
      </c>
      <c r="AB7" s="157">
        <v>767799.50899999996</v>
      </c>
      <c r="AC7" s="157">
        <v>448105</v>
      </c>
      <c r="AD7" s="1">
        <v>387369.07199999999</v>
      </c>
      <c r="AE7" s="1">
        <v>321546.27299999999</v>
      </c>
      <c r="AF7" s="1">
        <v>208185.91099999999</v>
      </c>
      <c r="AG7" s="1">
        <v>391623.098</v>
      </c>
      <c r="AH7" s="1">
        <v>388777.92</v>
      </c>
      <c r="AI7" s="1">
        <v>407446.72100000002</v>
      </c>
      <c r="AK7" s="1">
        <v>452114.734</v>
      </c>
    </row>
    <row r="8" spans="1:39" ht="12.75" customHeight="1">
      <c r="A8" s="1" t="s">
        <v>22</v>
      </c>
      <c r="B8" s="1">
        <f>10185+4609+2782+14+2679+3946</f>
        <v>24215</v>
      </c>
      <c r="C8" s="1">
        <f>11181+4930+1872+0+27+2611+5039+0</f>
        <v>25660</v>
      </c>
      <c r="D8" s="1">
        <f>11186+5868+1662+0+14+2982+0+5122</f>
        <v>26834</v>
      </c>
      <c r="I8" s="1">
        <f>11101.507+104238.419+15286.911+0</f>
        <v>130626.837</v>
      </c>
      <c r="J8" s="157">
        <v>50854.430999999997</v>
      </c>
      <c r="K8" s="1">
        <f>12306.174+31878.465+10678.348</f>
        <v>54862.987000000001</v>
      </c>
      <c r="L8" s="1">
        <f>12481.876+30712.87+11737.987</f>
        <v>54932.733</v>
      </c>
      <c r="M8" s="1">
        <v>57474.758000000002</v>
      </c>
      <c r="N8" s="1">
        <f>11053.64+38497.034+18502.913+0</f>
        <v>68053.587</v>
      </c>
      <c r="O8" s="1">
        <v>77379.725000000006</v>
      </c>
      <c r="R8" s="27">
        <v>78087.713000000003</v>
      </c>
      <c r="S8" s="1">
        <v>90049.153000000006</v>
      </c>
      <c r="T8" s="51">
        <v>87738.523000000001</v>
      </c>
      <c r="U8" s="1">
        <v>74060.067999999999</v>
      </c>
      <c r="V8" s="1">
        <v>82747.347999999998</v>
      </c>
      <c r="W8" s="157">
        <v>96686.987999999998</v>
      </c>
      <c r="X8" s="157">
        <v>120762.06600000001</v>
      </c>
      <c r="Y8" s="157">
        <v>95846.724000000002</v>
      </c>
      <c r="Z8" s="157">
        <v>118890.75199999999</v>
      </c>
      <c r="AA8" s="157">
        <v>90555.089000000007</v>
      </c>
      <c r="AB8" s="157">
        <v>134619.56700000001</v>
      </c>
      <c r="AC8" s="157">
        <v>123414</v>
      </c>
      <c r="AD8" s="1">
        <v>113169.806</v>
      </c>
      <c r="AE8" s="1">
        <v>131441.35</v>
      </c>
      <c r="AF8" s="1">
        <v>44718.851000000002</v>
      </c>
      <c r="AG8" s="1">
        <v>109314.277</v>
      </c>
      <c r="AH8" s="1">
        <v>112606.371</v>
      </c>
      <c r="AI8" s="1">
        <v>160504.58300000001</v>
      </c>
      <c r="AK8" s="1">
        <v>199073.00700000001</v>
      </c>
    </row>
    <row r="9" spans="1:39" ht="12.75" customHeight="1">
      <c r="A9" s="1" t="s">
        <v>23</v>
      </c>
      <c r="D9" s="1">
        <f>2294+2074+15873+0+10+240+667+0</f>
        <v>21158</v>
      </c>
      <c r="I9" s="1">
        <v>24559.17</v>
      </c>
      <c r="J9" s="157">
        <v>25785.814999999999</v>
      </c>
      <c r="M9" s="1">
        <v>32269.249</v>
      </c>
      <c r="N9" s="1">
        <f>3234.857+5252.954+14434.146+0</f>
        <v>22921.957000000002</v>
      </c>
      <c r="O9" s="1">
        <v>24791.388999999999</v>
      </c>
      <c r="R9" s="27">
        <v>42494.288999999997</v>
      </c>
      <c r="S9" s="38">
        <f>23224.842+13832.139</f>
        <v>37056.981</v>
      </c>
      <c r="T9" s="52">
        <v>19118.007000000001</v>
      </c>
      <c r="U9" s="38">
        <v>23324.733</v>
      </c>
      <c r="V9" s="38">
        <v>14902.821</v>
      </c>
      <c r="W9" s="157">
        <v>6079.01</v>
      </c>
      <c r="X9" s="157">
        <v>21098.637999999999</v>
      </c>
      <c r="Y9" s="157">
        <v>24508.012999999999</v>
      </c>
      <c r="Z9" s="157">
        <v>25958.883000000002</v>
      </c>
      <c r="AA9" s="157">
        <v>28856.188999999998</v>
      </c>
      <c r="AB9" s="157">
        <v>21660.934000000001</v>
      </c>
      <c r="AC9" s="157">
        <v>83616</v>
      </c>
      <c r="AD9" s="1">
        <v>43840.688000000002</v>
      </c>
      <c r="AE9" s="1">
        <v>11537.21</v>
      </c>
      <c r="AF9" s="1">
        <v>45175.224000000002</v>
      </c>
      <c r="AG9" s="1">
        <v>48804.517</v>
      </c>
      <c r="AH9" s="1">
        <v>49527.74</v>
      </c>
      <c r="AI9" s="1">
        <v>9087.5769999999993</v>
      </c>
      <c r="AK9" s="1">
        <v>77882.933000000005</v>
      </c>
    </row>
    <row r="10" spans="1:39" ht="12.75" customHeight="1">
      <c r="A10" s="1" t="s">
        <v>24</v>
      </c>
      <c r="B10" s="1">
        <f>5581+8373+5737+25+5159+4557</f>
        <v>29432</v>
      </c>
      <c r="C10" s="1">
        <f>5724+9669+7173+0+0+5062+6225+0</f>
        <v>33853</v>
      </c>
      <c r="D10" s="1">
        <f>5043+9963+6479+0+401+7371+5700+0</f>
        <v>34957</v>
      </c>
      <c r="I10" s="1">
        <f>6165.056+22952.049+25058.083+0</f>
        <v>54175.187999999995</v>
      </c>
      <c r="J10" s="157">
        <v>59422.455999999998</v>
      </c>
      <c r="K10" s="1">
        <f>6996.276+42215.175+15742.248</f>
        <v>64953.699000000001</v>
      </c>
      <c r="L10" s="1">
        <f>7502.82+38840.547+13833.627</f>
        <v>60176.993999999999</v>
      </c>
      <c r="M10" s="1">
        <v>135326.46400000001</v>
      </c>
      <c r="N10" s="1">
        <f>6361.977+41933.993+107725.176+0</f>
        <v>156021.14600000001</v>
      </c>
      <c r="O10" s="1">
        <v>161080.568</v>
      </c>
      <c r="R10" s="27">
        <v>220116.258</v>
      </c>
      <c r="S10" s="1">
        <v>235419.87599999999</v>
      </c>
      <c r="T10" s="51">
        <v>173040.269</v>
      </c>
      <c r="U10" s="1">
        <v>141521.38099999999</v>
      </c>
      <c r="V10" s="1">
        <v>157976.82500000001</v>
      </c>
      <c r="W10" s="157">
        <v>310001.73200000002</v>
      </c>
      <c r="X10" s="157">
        <v>319843.80200000003</v>
      </c>
      <c r="Y10" s="157">
        <v>299248.30099999998</v>
      </c>
      <c r="Z10" s="157">
        <v>244118.99299999999</v>
      </c>
      <c r="AA10" s="157">
        <v>227970.83600000001</v>
      </c>
      <c r="AB10" s="157">
        <v>244863.88</v>
      </c>
      <c r="AC10" s="157">
        <v>271316</v>
      </c>
      <c r="AD10" s="1">
        <v>201652.986</v>
      </c>
      <c r="AE10" s="1">
        <v>222665.99299999999</v>
      </c>
      <c r="AF10" s="1">
        <v>168697.234</v>
      </c>
      <c r="AG10" s="1">
        <v>230404.682</v>
      </c>
      <c r="AH10" s="1">
        <v>198491.9</v>
      </c>
      <c r="AI10" s="1">
        <v>198009.68900000001</v>
      </c>
      <c r="AK10" s="1">
        <v>375209.33</v>
      </c>
    </row>
    <row r="11" spans="1:39" ht="12.75" customHeight="1">
      <c r="A11" s="1" t="s">
        <v>25</v>
      </c>
      <c r="B11" s="1">
        <f>9576+8708+61+18+4522+7840</f>
        <v>30725</v>
      </c>
      <c r="C11" s="1">
        <f>10093+9483+339+0+14+4503+9061+0</f>
        <v>33493</v>
      </c>
      <c r="D11" s="1">
        <f>10288+10503+381+0+14+4210+8956+0</f>
        <v>34352</v>
      </c>
      <c r="I11" s="1">
        <f>9872.112+24667.885+12940.176+0</f>
        <v>47480.172999999995</v>
      </c>
      <c r="J11" s="157">
        <v>57195.112000000001</v>
      </c>
      <c r="K11" s="1">
        <f>11526.845+30047.622+21622.218</f>
        <v>63196.684999999998</v>
      </c>
      <c r="L11" s="1">
        <f>11985.003+31795.912+21995.538</f>
        <v>65776.453000000009</v>
      </c>
      <c r="M11" s="1">
        <v>72054.570999999996</v>
      </c>
      <c r="N11" s="1">
        <f>11454.32+38103.131+27658.916+0</f>
        <v>77216.366999999998</v>
      </c>
      <c r="O11" s="1">
        <v>90164.478000000003</v>
      </c>
      <c r="R11" s="27">
        <v>160425.40299999999</v>
      </c>
      <c r="S11" s="1">
        <v>145474.37599999999</v>
      </c>
      <c r="T11" s="51">
        <v>113033.43</v>
      </c>
      <c r="U11" s="1">
        <v>148201.16200000001</v>
      </c>
      <c r="V11" s="1">
        <v>148436.46900000001</v>
      </c>
      <c r="W11" s="157">
        <v>127933.739</v>
      </c>
      <c r="X11" s="157">
        <v>109441.15399999999</v>
      </c>
      <c r="Y11" s="157">
        <v>128273.95</v>
      </c>
      <c r="Z11" s="157">
        <v>153034.54399999999</v>
      </c>
      <c r="AA11" s="157">
        <v>102676.01</v>
      </c>
      <c r="AB11" s="157">
        <v>281120.91600000003</v>
      </c>
      <c r="AC11" s="157">
        <v>208098</v>
      </c>
      <c r="AD11" s="1">
        <v>223760.508</v>
      </c>
      <c r="AE11" s="1">
        <v>282343.18400000001</v>
      </c>
      <c r="AF11" s="1">
        <v>118267.531</v>
      </c>
      <c r="AG11" s="1">
        <v>275336.196</v>
      </c>
      <c r="AH11" s="1">
        <v>286950.25099999999</v>
      </c>
      <c r="AI11" s="1">
        <v>304400.78000000003</v>
      </c>
      <c r="AK11" s="1">
        <v>398095.21</v>
      </c>
    </row>
    <row r="12" spans="1:39" ht="12.75" customHeight="1">
      <c r="A12" s="1" t="s">
        <v>26</v>
      </c>
      <c r="B12" s="1">
        <f>13327+9662+12845+7+4718+7176</f>
        <v>47735</v>
      </c>
      <c r="C12" s="1">
        <f>13991+10893+20496+2782+5204+7102</f>
        <v>60468</v>
      </c>
      <c r="D12" s="1">
        <f>13191+13140+46797+0+2795+5867+6626+0</f>
        <v>88416</v>
      </c>
      <c r="I12" s="1">
        <f>18146.066+33441.58+94513.762+78.977</f>
        <v>146180.38500000001</v>
      </c>
      <c r="J12" s="157">
        <v>147213.16399999999</v>
      </c>
      <c r="K12" s="1">
        <f>18957.707+40354.815+96582.383</f>
        <v>155894.905</v>
      </c>
      <c r="L12" s="1">
        <f>19801.62+42363.745+97708.27</f>
        <v>159873.63500000001</v>
      </c>
      <c r="M12" s="1">
        <v>183156.46100000001</v>
      </c>
      <c r="N12" s="1">
        <f>20858.693+50364.82+147723.366+0</f>
        <v>218946.87900000002</v>
      </c>
      <c r="O12" s="1">
        <v>266444.30900000001</v>
      </c>
      <c r="R12" s="20">
        <v>326174.75199999998</v>
      </c>
      <c r="S12" s="1">
        <v>283060</v>
      </c>
      <c r="T12" s="51">
        <v>138095.76</v>
      </c>
      <c r="U12" s="1">
        <v>126715.139</v>
      </c>
      <c r="V12" s="1">
        <v>133710.535</v>
      </c>
      <c r="W12" s="157">
        <v>121014.772</v>
      </c>
      <c r="X12" s="157">
        <v>127154.514</v>
      </c>
      <c r="Y12" s="157">
        <v>144232.641</v>
      </c>
      <c r="Z12" s="157">
        <v>158018.117</v>
      </c>
      <c r="AA12" s="157">
        <v>158918.27499999999</v>
      </c>
      <c r="AB12" s="157">
        <v>414360.98100000003</v>
      </c>
      <c r="AC12" s="157">
        <v>416175</v>
      </c>
      <c r="AD12" s="1">
        <v>405816.25699999998</v>
      </c>
      <c r="AE12" s="1">
        <v>427398.27600000001</v>
      </c>
      <c r="AF12" s="1">
        <v>112465.429</v>
      </c>
      <c r="AG12" s="1">
        <v>491022.473</v>
      </c>
      <c r="AH12" s="1">
        <v>529666.55500000005</v>
      </c>
      <c r="AI12" s="1">
        <v>536019.08299999998</v>
      </c>
      <c r="AK12" s="1">
        <v>588158.04500000004</v>
      </c>
    </row>
    <row r="13" spans="1:39" ht="12.75" customHeight="1">
      <c r="A13" s="1" t="s">
        <v>27</v>
      </c>
      <c r="B13" s="1">
        <f>9966+6031+6894+2021+27846+14274</f>
        <v>67032</v>
      </c>
      <c r="C13" s="1">
        <f>9778+6441+8067+0+2975+31824+17903+0</f>
        <v>76988</v>
      </c>
      <c r="D13" s="1">
        <f>9709+6407+9900+0+2875+38383+17853+0</f>
        <v>85127</v>
      </c>
      <c r="I13" s="1">
        <f>15094.69+64226.297+55612.219+0</f>
        <v>134933.20600000001</v>
      </c>
      <c r="J13" s="157">
        <v>165318.033</v>
      </c>
      <c r="K13" s="1">
        <f>15005.171+111628.9+71059.287</f>
        <v>197693.35800000001</v>
      </c>
      <c r="L13" s="1">
        <f>12960.946+124860.813+64987.505</f>
        <v>202809.264</v>
      </c>
      <c r="M13" s="1">
        <v>253612.967</v>
      </c>
      <c r="N13" s="1">
        <f>14500.26+178207.645+76754.734+0</f>
        <v>269462.63899999997</v>
      </c>
      <c r="O13" s="1">
        <v>266147.57299999997</v>
      </c>
      <c r="R13" s="20">
        <v>277131.58299999998</v>
      </c>
      <c r="S13" s="1">
        <v>262332.891</v>
      </c>
      <c r="T13" s="51">
        <v>189730.48</v>
      </c>
      <c r="U13" s="1">
        <v>230041.141</v>
      </c>
      <c r="V13" s="1">
        <v>115285.83199999999</v>
      </c>
      <c r="W13" s="157">
        <v>102455.537</v>
      </c>
      <c r="X13" s="157">
        <v>147883.67300000001</v>
      </c>
      <c r="Y13" s="157">
        <v>90277.804000000004</v>
      </c>
      <c r="Z13" s="157">
        <v>87104.593999999997</v>
      </c>
      <c r="AA13" s="157">
        <v>111339.863</v>
      </c>
      <c r="AB13" s="157">
        <v>394600.37800000003</v>
      </c>
      <c r="AC13" s="157">
        <v>455947</v>
      </c>
      <c r="AD13" s="1">
        <v>219108.31899999999</v>
      </c>
      <c r="AE13" s="1">
        <v>213406.21599999999</v>
      </c>
      <c r="AF13" s="1">
        <v>108381.575</v>
      </c>
      <c r="AG13" s="1">
        <v>210694.07500000001</v>
      </c>
      <c r="AH13" s="1">
        <v>249661.52499999999</v>
      </c>
      <c r="AI13" s="1">
        <v>176455.266</v>
      </c>
      <c r="AK13" s="1">
        <v>167332.916</v>
      </c>
    </row>
    <row r="14" spans="1:39" ht="12.75" customHeight="1">
      <c r="A14" s="1" t="s">
        <v>28</v>
      </c>
      <c r="B14" s="1">
        <f>180+13169+2231</f>
        <v>15580</v>
      </c>
      <c r="C14" s="1">
        <f>178+19709+9814+0</f>
        <v>29701</v>
      </c>
      <c r="D14" s="1">
        <f>0+0+0+0+164+20503+14065+0</f>
        <v>34732</v>
      </c>
      <c r="I14" s="1">
        <f>2028.258+35053.784+23991.732+0</f>
        <v>61073.774000000005</v>
      </c>
      <c r="J14" s="157">
        <v>55703.817000000003</v>
      </c>
      <c r="K14" s="1">
        <f>1930.573+51912.732+16928.764</f>
        <v>70772.069000000003</v>
      </c>
      <c r="L14" s="1">
        <f>2087.014+56135.925+17131.862</f>
        <v>75354.801000000007</v>
      </c>
      <c r="M14" s="1">
        <v>82035.490000000005</v>
      </c>
      <c r="N14" s="1">
        <f>2550.742+78756.081+20541.791+0</f>
        <v>101848.614</v>
      </c>
      <c r="O14" s="1">
        <v>112530.10562</v>
      </c>
      <c r="R14" s="20">
        <v>141083.47399999999</v>
      </c>
      <c r="S14" s="1">
        <v>162599.06099999999</v>
      </c>
      <c r="T14" s="51">
        <v>156713.93799999999</v>
      </c>
      <c r="U14" s="1">
        <v>184462.19</v>
      </c>
      <c r="V14" s="1">
        <v>165422.51300000001</v>
      </c>
      <c r="W14" s="157">
        <v>527811.59100000001</v>
      </c>
      <c r="X14" s="157">
        <v>274988.78000000003</v>
      </c>
      <c r="Y14" s="157">
        <v>281003.59399999998</v>
      </c>
      <c r="Z14" s="157">
        <v>268554.57</v>
      </c>
      <c r="AA14" s="157">
        <v>83450.25</v>
      </c>
      <c r="AB14" s="157">
        <v>383551.315</v>
      </c>
      <c r="AC14" s="157">
        <v>313941</v>
      </c>
      <c r="AD14" s="1">
        <v>322094.88799999998</v>
      </c>
      <c r="AE14" s="1">
        <v>386775.54399999999</v>
      </c>
      <c r="AF14" s="1">
        <v>83709.642999999996</v>
      </c>
      <c r="AG14" s="1">
        <v>411443.36499999999</v>
      </c>
      <c r="AH14" s="1">
        <v>422545.22</v>
      </c>
      <c r="AI14" s="1">
        <v>436070.25599999999</v>
      </c>
      <c r="AK14" s="1">
        <v>429626.46</v>
      </c>
    </row>
    <row r="15" spans="1:39" ht="12.75" customHeight="1">
      <c r="A15" s="1" t="s">
        <v>29</v>
      </c>
      <c r="B15" s="1">
        <f>337+2602+12057+8898+9087+1040</f>
        <v>34021</v>
      </c>
      <c r="C15" s="1">
        <f>0+3280+1060+0+12332+8977+9309+1063</f>
        <v>36021</v>
      </c>
      <c r="D15" s="1">
        <f>0+2194+1337+0+11784+13454+8270+306</f>
        <v>37345</v>
      </c>
      <c r="I15" s="1">
        <f>12299.913+19167.626+17112.45+1490.274</f>
        <v>50070.262999999999</v>
      </c>
      <c r="J15" s="157">
        <v>53697.057000000001</v>
      </c>
      <c r="K15" s="1">
        <f>12916.898+25172.063+15756.614+1453.133</f>
        <v>55298.707999999999</v>
      </c>
      <c r="L15" s="1">
        <f>10706.698+23983.262+18868.975+1350.162</f>
        <v>54909.096999999994</v>
      </c>
      <c r="M15" s="1">
        <v>68984.585999999996</v>
      </c>
      <c r="N15" s="1">
        <f>12822.906+24686.126+31479.685+1516.4843</f>
        <v>70505.201300000001</v>
      </c>
      <c r="O15" s="1">
        <v>66030.293999999994</v>
      </c>
      <c r="R15" s="20">
        <v>83065.468999999997</v>
      </c>
      <c r="S15" s="1">
        <v>92349.123999999996</v>
      </c>
      <c r="T15" s="51">
        <v>109817.49400000001</v>
      </c>
      <c r="U15" s="1">
        <v>125032.40399999999</v>
      </c>
      <c r="V15" s="1">
        <v>120431.836</v>
      </c>
      <c r="W15" s="157">
        <v>130279.808</v>
      </c>
      <c r="X15" s="157">
        <v>128984.795</v>
      </c>
      <c r="Y15" s="157">
        <v>121925.398</v>
      </c>
      <c r="Z15" s="157">
        <v>112723.626</v>
      </c>
      <c r="AA15" s="157">
        <v>78769.218999999997</v>
      </c>
      <c r="AB15" s="157">
        <v>125770.38400000001</v>
      </c>
      <c r="AC15" s="157">
        <v>144900</v>
      </c>
      <c r="AD15" s="1">
        <v>151867.823</v>
      </c>
      <c r="AE15" s="1">
        <v>154120.842</v>
      </c>
      <c r="AF15" s="1">
        <v>106991.62</v>
      </c>
      <c r="AG15" s="1">
        <v>162387.53099999999</v>
      </c>
      <c r="AH15" s="1">
        <v>194060.25099999999</v>
      </c>
      <c r="AI15" s="1">
        <v>150182.777</v>
      </c>
      <c r="AK15" s="1">
        <v>173539.98800000001</v>
      </c>
    </row>
    <row r="16" spans="1:39" ht="12.75" customHeight="1">
      <c r="A16" s="1" t="s">
        <v>30</v>
      </c>
      <c r="B16" s="1">
        <f>47217+15908+26297+16866+16845+24759+1737</f>
        <v>149629</v>
      </c>
      <c r="C16" s="1">
        <f>0+51426+4254+27776+17954+19043+25513+1276</f>
        <v>147242</v>
      </c>
      <c r="D16" s="1">
        <f>0+55317+22016+26487+18548+18605+37203+2503</f>
        <v>180679</v>
      </c>
      <c r="I16" s="1">
        <f>23490.267+113029.776+56553.353+13184.763</f>
        <v>206258.15900000001</v>
      </c>
      <c r="J16" s="157">
        <v>228012.234</v>
      </c>
      <c r="K16" s="1">
        <f>19974.544+175579.237+56266.235+13352.344</f>
        <v>265172.36</v>
      </c>
      <c r="L16" s="1">
        <f>19213.397+86473.528+54611.657+14035.174</f>
        <v>174333.75599999999</v>
      </c>
      <c r="M16" s="1">
        <v>169877.269</v>
      </c>
      <c r="N16" s="1">
        <f>21362.525+30271.542+70162.231+14748.761</f>
        <v>136545.05900000001</v>
      </c>
      <c r="O16" s="1">
        <v>148357.76999999999</v>
      </c>
      <c r="R16" s="20">
        <v>172165.64600000001</v>
      </c>
      <c r="S16" s="1">
        <v>200967.73199999999</v>
      </c>
      <c r="T16" s="51">
        <v>61263.766000000003</v>
      </c>
      <c r="U16" s="1">
        <v>76019.269</v>
      </c>
      <c r="V16" s="1">
        <v>83265.877999999997</v>
      </c>
      <c r="W16" s="157">
        <v>97645.865000000005</v>
      </c>
      <c r="X16" s="157">
        <v>117390.486</v>
      </c>
      <c r="Y16" s="157">
        <v>165862.25200000001</v>
      </c>
      <c r="Z16" s="157">
        <v>153381.16399999999</v>
      </c>
      <c r="AA16" s="157">
        <v>224067.223</v>
      </c>
      <c r="AB16" s="157">
        <v>301300.07199999999</v>
      </c>
      <c r="AC16" s="157">
        <v>357617</v>
      </c>
      <c r="AD16" s="1">
        <v>216145.37899999999</v>
      </c>
      <c r="AE16" s="1">
        <v>212805.04500000001</v>
      </c>
      <c r="AF16" s="1">
        <v>86691.591</v>
      </c>
      <c r="AG16" s="1">
        <v>261070.91399999999</v>
      </c>
      <c r="AH16" s="1">
        <v>252872.50099999999</v>
      </c>
      <c r="AI16" s="1">
        <v>261142.26800000001</v>
      </c>
      <c r="AK16" s="1">
        <v>363502.89899999998</v>
      </c>
    </row>
    <row r="17" spans="1:37" ht="12.75" customHeight="1">
      <c r="A17" s="1" t="s">
        <v>31</v>
      </c>
      <c r="B17" s="1">
        <f>8341+2717+24531</f>
        <v>35589</v>
      </c>
      <c r="C17" s="1">
        <f>8742+2841+25929+0</f>
        <v>37512</v>
      </c>
      <c r="D17" s="1">
        <f>0+0+0+0+9087+5942+20210+0</f>
        <v>35239</v>
      </c>
      <c r="I17" s="1">
        <f>13043.351+15252.677+19177.49+64448.945</f>
        <v>111922.46299999999</v>
      </c>
      <c r="J17" s="157">
        <v>109765.226</v>
      </c>
      <c r="K17" s="1">
        <f>12227.593+12550.001+21829.58+60980.332</f>
        <v>107587.50599999999</v>
      </c>
      <c r="L17" s="1">
        <f>13622.743+15726.411+27755.615+67212.854</f>
        <v>124317.62300000001</v>
      </c>
      <c r="M17" s="1">
        <v>54457.497000000003</v>
      </c>
      <c r="N17" s="1">
        <f>13820.815+18611.926+33801.653+81163.376</f>
        <v>147397.77000000002</v>
      </c>
      <c r="O17" s="1">
        <v>177453.52177000002</v>
      </c>
      <c r="R17" s="20">
        <v>310330.13699999999</v>
      </c>
      <c r="S17" s="1">
        <v>78497.013999999996</v>
      </c>
      <c r="T17" s="51">
        <v>138017.364</v>
      </c>
      <c r="U17" s="1">
        <v>144060.008</v>
      </c>
      <c r="V17" s="1">
        <v>171211.41800000001</v>
      </c>
      <c r="W17" s="157">
        <v>159155.065</v>
      </c>
      <c r="X17" s="157">
        <v>191008.549</v>
      </c>
      <c r="Y17" s="157">
        <v>213418.53200000001</v>
      </c>
      <c r="Z17" s="157">
        <v>214774.40100000001</v>
      </c>
      <c r="AA17" s="157">
        <v>106555.06600000001</v>
      </c>
      <c r="AB17" s="157">
        <v>234651.24900000001</v>
      </c>
      <c r="AC17" s="157">
        <v>221204</v>
      </c>
      <c r="AD17" s="1">
        <v>238012.93400000001</v>
      </c>
      <c r="AE17" s="1">
        <v>270358.717</v>
      </c>
      <c r="AF17" s="1">
        <v>196731.21</v>
      </c>
      <c r="AG17" s="1">
        <v>286754.53399999999</v>
      </c>
      <c r="AH17" s="1">
        <v>299833.89199999999</v>
      </c>
      <c r="AI17" s="1">
        <v>313907.74800000002</v>
      </c>
      <c r="AK17" s="1">
        <v>226426.731</v>
      </c>
    </row>
    <row r="18" spans="1:37" ht="12.75" customHeight="1">
      <c r="A18" s="1" t="s">
        <v>32</v>
      </c>
      <c r="B18" s="1">
        <f>10789+10481+6177+25+1522+8358</f>
        <v>37352</v>
      </c>
      <c r="C18" s="1">
        <f>10937+11913+11254+0+25+2473+9363+0</f>
        <v>45965</v>
      </c>
      <c r="D18" s="1">
        <f>10071+11403+10795+0+25+2255+11682+0</f>
        <v>46231</v>
      </c>
      <c r="I18" s="1">
        <f>11563.728+30820.123+20181.33+0</f>
        <v>62565.180999999997</v>
      </c>
      <c r="J18" s="157">
        <v>53713.24</v>
      </c>
      <c r="K18" s="1">
        <f>11698.766+26008.174+22185.209</f>
        <v>59892.149000000005</v>
      </c>
      <c r="L18" s="1">
        <f>10244.845+29881.336+27657.199</f>
        <v>67783.38</v>
      </c>
      <c r="M18" s="1">
        <v>67347.236000000004</v>
      </c>
      <c r="N18" s="1">
        <f>11047.821+32055.948+26556.379+0</f>
        <v>69660.148000000001</v>
      </c>
      <c r="O18" s="1">
        <v>87197.702999999994</v>
      </c>
      <c r="R18" s="20">
        <v>84193.09</v>
      </c>
      <c r="S18" s="1">
        <v>151077.81599999999</v>
      </c>
      <c r="T18" s="51">
        <v>160504.087</v>
      </c>
      <c r="U18" s="1">
        <v>192291.79500000001</v>
      </c>
      <c r="V18" s="1">
        <v>202306.37</v>
      </c>
      <c r="W18" s="157">
        <v>217512.52900000001</v>
      </c>
      <c r="X18" s="157">
        <v>223951.886</v>
      </c>
      <c r="Y18" s="157">
        <v>273702.91600000003</v>
      </c>
      <c r="Z18" s="157">
        <v>276345.70699999999</v>
      </c>
      <c r="AA18" s="157">
        <v>94722.423999999999</v>
      </c>
      <c r="AB18" s="157">
        <v>294337.46500000003</v>
      </c>
      <c r="AC18" s="157">
        <v>365954</v>
      </c>
      <c r="AD18" s="1">
        <v>299325.45199999999</v>
      </c>
      <c r="AE18" s="1">
        <v>303642.53399999999</v>
      </c>
      <c r="AF18" s="1">
        <v>204829.14199999999</v>
      </c>
      <c r="AG18" s="1">
        <v>372380.02899999998</v>
      </c>
      <c r="AH18" s="1">
        <v>343243.63299999997</v>
      </c>
      <c r="AI18" s="1">
        <v>369863.82500000001</v>
      </c>
      <c r="AK18" s="1">
        <v>445272.587</v>
      </c>
    </row>
    <row r="19" spans="1:37" ht="12.75" customHeight="1">
      <c r="A19" s="1" t="s">
        <v>33</v>
      </c>
      <c r="B19" s="1">
        <f>43+2690+2835+2523+18905+7163</f>
        <v>34159</v>
      </c>
      <c r="C19" s="1">
        <f>41+5115+1194+0+444+19495+8540+0</f>
        <v>34829</v>
      </c>
      <c r="D19" s="1">
        <f>11427+7663+1830+0+0+19900+7446+0</f>
        <v>48266</v>
      </c>
      <c r="I19" s="1">
        <f>12110.199+41780.651+23309.593+0</f>
        <v>77200.442999999999</v>
      </c>
      <c r="J19" s="157">
        <v>68909.474000000002</v>
      </c>
      <c r="K19" s="1">
        <f>13333.293+50689.682+17366.415</f>
        <v>81389.39</v>
      </c>
      <c r="L19" s="1">
        <f>13608.242+55827.978+18769.276</f>
        <v>88205.495999999999</v>
      </c>
      <c r="M19" s="1">
        <v>84883.307000000001</v>
      </c>
      <c r="N19" s="1">
        <f>13073.132+61528.25+28269.465+0</f>
        <v>102870.84699999999</v>
      </c>
      <c r="O19" s="1">
        <v>108130.59212</v>
      </c>
      <c r="R19" s="27">
        <v>217655.12</v>
      </c>
      <c r="S19" s="1">
        <v>185646.44</v>
      </c>
      <c r="T19" s="51">
        <v>178269.94500000001</v>
      </c>
      <c r="U19" s="1">
        <v>122361.122</v>
      </c>
      <c r="V19" s="1">
        <v>140753.973</v>
      </c>
      <c r="W19" s="157">
        <v>126622.739</v>
      </c>
      <c r="X19" s="157">
        <v>139145.141</v>
      </c>
      <c r="Y19" s="157">
        <v>148868.58799999999</v>
      </c>
      <c r="Z19" s="157">
        <v>171825.609</v>
      </c>
      <c r="AA19" s="157">
        <v>170964.36900000001</v>
      </c>
      <c r="AB19" s="157">
        <v>183227.88500000001</v>
      </c>
      <c r="AC19" s="157">
        <v>142386</v>
      </c>
      <c r="AD19" s="1">
        <v>192444.25700000001</v>
      </c>
      <c r="AE19" s="1">
        <v>198198.44200000001</v>
      </c>
      <c r="AF19" s="1">
        <v>116805.74</v>
      </c>
      <c r="AG19" s="1">
        <v>214887.19699999999</v>
      </c>
      <c r="AH19" s="1">
        <v>231682.84899999999</v>
      </c>
      <c r="AI19" s="1">
        <v>226186.29500000001</v>
      </c>
      <c r="AK19" s="1">
        <v>213265.685</v>
      </c>
    </row>
    <row r="20" spans="1:37" ht="12.75" customHeight="1">
      <c r="A20" s="1" t="s">
        <v>34</v>
      </c>
      <c r="B20" s="1">
        <f>21746+28676+111832+114014+66042</f>
        <v>342310</v>
      </c>
      <c r="C20" s="1">
        <f>22636+30719+106908+0+16+141166+71811+0</f>
        <v>373256</v>
      </c>
      <c r="D20" s="1">
        <f>19836+35931+115151+0+0+161790+81467+36202</f>
        <v>450377</v>
      </c>
      <c r="I20" s="1">
        <f>27716.453+271378.072+298815.694+1655.659</f>
        <v>599565.87800000003</v>
      </c>
      <c r="J20" s="157">
        <v>666785.00300000003</v>
      </c>
      <c r="K20" s="1">
        <f>24079.48+362254.27+338215.735</f>
        <v>724549.48499999999</v>
      </c>
      <c r="L20" s="1">
        <f>25591.72+398867.092+368883.933</f>
        <v>793342.74500000011</v>
      </c>
      <c r="M20" s="1">
        <v>878946.95700000005</v>
      </c>
      <c r="N20" s="1">
        <f>24339.974+410346.928+498957.796+0</f>
        <v>933644.69799999997</v>
      </c>
      <c r="O20" s="1">
        <v>976407.76100000006</v>
      </c>
      <c r="R20" s="20">
        <v>1071165.8189999999</v>
      </c>
      <c r="S20" s="1">
        <v>1063417.0449999999</v>
      </c>
      <c r="T20" s="51">
        <v>2498406.5970000001</v>
      </c>
      <c r="U20" s="1">
        <v>2604105.3050000002</v>
      </c>
      <c r="V20" s="1">
        <v>2541226.8029999998</v>
      </c>
      <c r="W20" s="157">
        <v>2853187.2349999999</v>
      </c>
      <c r="X20" s="157">
        <v>2435948.17</v>
      </c>
      <c r="Y20" s="157">
        <v>3243807.6260000002</v>
      </c>
      <c r="Z20" s="157">
        <v>2983950.8769999999</v>
      </c>
      <c r="AA20" s="157">
        <v>1944644.942</v>
      </c>
      <c r="AB20" s="157">
        <v>3589664.7749999999</v>
      </c>
      <c r="AC20" s="157">
        <v>3467360</v>
      </c>
      <c r="AD20" s="1">
        <v>3341233.7250000001</v>
      </c>
      <c r="AE20" s="1">
        <v>2089588.7339999999</v>
      </c>
      <c r="AF20" s="1">
        <v>1693765.2439999999</v>
      </c>
      <c r="AG20" s="1">
        <v>3111623.73</v>
      </c>
      <c r="AH20" s="1">
        <v>5055736.4340000004</v>
      </c>
      <c r="AI20" s="1">
        <v>6169389.8569999998</v>
      </c>
      <c r="AK20" s="1">
        <v>6233709.7479999997</v>
      </c>
    </row>
    <row r="21" spans="1:37" ht="12.75" customHeight="1">
      <c r="A21" s="1" t="s">
        <v>35</v>
      </c>
      <c r="B21" s="1">
        <f>7598+14686+1200+11381+1915+6947</f>
        <v>43727</v>
      </c>
      <c r="C21" s="1">
        <f>56274+8790+21036+1211+12056+1903+7240+0</f>
        <v>108510</v>
      </c>
      <c r="D21" s="1">
        <f>65266+8416+23408+0+11327+1987+8721+2020</f>
        <v>121145</v>
      </c>
      <c r="I21" s="1">
        <f>12686.55+19582.949+38228.749+366.469</f>
        <v>70864.717000000004</v>
      </c>
      <c r="J21" s="157">
        <v>73537.816000000006</v>
      </c>
      <c r="K21" s="1">
        <f>13652.97+19896.869+34775.178+278.025</f>
        <v>68603.041999999987</v>
      </c>
      <c r="L21" s="1">
        <f>13395.242+21348.713+35065.648+272.377</f>
        <v>70081.98</v>
      </c>
      <c r="M21" s="1">
        <v>80423.773000000001</v>
      </c>
      <c r="N21" s="1">
        <f>14104.726+25365.486+46537.338+315.458</f>
        <v>86323.008000000002</v>
      </c>
      <c r="O21" s="1">
        <v>83740.038</v>
      </c>
      <c r="R21" s="20">
        <v>93142.576000000001</v>
      </c>
      <c r="S21" s="1">
        <v>112304.81600000001</v>
      </c>
      <c r="T21" s="51">
        <v>154525.00599999999</v>
      </c>
      <c r="U21" s="1">
        <v>106482.474</v>
      </c>
      <c r="V21" s="1">
        <v>129357.455</v>
      </c>
      <c r="W21" s="157">
        <v>133248.35</v>
      </c>
      <c r="X21" s="157">
        <v>152995.95000000001</v>
      </c>
      <c r="Y21" s="157">
        <v>157870.23699999999</v>
      </c>
      <c r="Z21" s="157">
        <v>153720.302</v>
      </c>
      <c r="AA21" s="157">
        <v>156453.323</v>
      </c>
      <c r="AB21" s="157">
        <v>223212.25599999999</v>
      </c>
      <c r="AC21" s="157">
        <v>365273</v>
      </c>
      <c r="AD21" s="1">
        <v>279450.31300000002</v>
      </c>
      <c r="AE21" s="1">
        <v>239081.81099999999</v>
      </c>
      <c r="AF21" s="1">
        <v>197215.54399999999</v>
      </c>
      <c r="AG21" s="1">
        <v>324787.95799999998</v>
      </c>
      <c r="AH21" s="1">
        <v>302199.19699999999</v>
      </c>
      <c r="AI21" s="1">
        <v>340606.97600000002</v>
      </c>
      <c r="AK21" s="1">
        <v>287380.65899999999</v>
      </c>
    </row>
    <row r="22" spans="1:37" ht="12.75" customHeight="1">
      <c r="A22" s="30" t="s">
        <v>36</v>
      </c>
      <c r="B22" s="30">
        <f>8396+4059+10666+330+3199</f>
        <v>26650</v>
      </c>
      <c r="C22" s="30">
        <f>7252+3794+6618+0+0+327+2932+0</f>
        <v>20923</v>
      </c>
      <c r="D22" s="30">
        <f>7491+2946+7961+0+0+357+4686+0</f>
        <v>23441</v>
      </c>
      <c r="E22" s="30"/>
      <c r="F22" s="30"/>
      <c r="G22" s="30"/>
      <c r="H22" s="30"/>
      <c r="I22" s="30">
        <f>6926.945+1750.399+22762.474+0</f>
        <v>31439.817999999999</v>
      </c>
      <c r="J22" s="158">
        <v>31461.955999999998</v>
      </c>
      <c r="K22" s="30">
        <f>8263.597+4720.093+15144.195</f>
        <v>28127.884999999998</v>
      </c>
      <c r="L22" s="30">
        <f>5546.107+6578.867+13202.712</f>
        <v>25327.686000000002</v>
      </c>
      <c r="M22" s="30">
        <v>25135.268</v>
      </c>
      <c r="N22" s="30">
        <f>7832.077+5610.366+18128.709+0</f>
        <v>31571.151999999998</v>
      </c>
      <c r="O22" s="30">
        <v>32251.190600000002</v>
      </c>
      <c r="P22" s="30"/>
      <c r="Q22" s="30"/>
      <c r="R22" s="30">
        <v>36908.97</v>
      </c>
      <c r="S22" s="30">
        <v>50803.533000000003</v>
      </c>
      <c r="T22" s="68">
        <v>77968.758000000002</v>
      </c>
      <c r="U22" s="30">
        <v>39021.544000000002</v>
      </c>
      <c r="V22" s="30">
        <v>32707.05</v>
      </c>
      <c r="W22" s="158">
        <v>57080.531999999999</v>
      </c>
      <c r="X22" s="158">
        <v>83585.509999999995</v>
      </c>
      <c r="Y22" s="158">
        <v>86324.686000000002</v>
      </c>
      <c r="Z22" s="158">
        <v>89164.335000000006</v>
      </c>
      <c r="AA22" s="158">
        <v>54707.675000000003</v>
      </c>
      <c r="AB22" s="158">
        <v>168554.84899999999</v>
      </c>
      <c r="AC22" s="158">
        <v>102417</v>
      </c>
      <c r="AD22" s="30">
        <v>86604.626999999993</v>
      </c>
      <c r="AE22" s="30">
        <v>88107.955000000002</v>
      </c>
      <c r="AF22" s="30">
        <v>58763.644999999997</v>
      </c>
      <c r="AG22" s="30">
        <v>55962.464999999997</v>
      </c>
      <c r="AH22" s="30">
        <v>55973.163999999997</v>
      </c>
      <c r="AI22" s="30">
        <v>64244.807999999997</v>
      </c>
      <c r="AJ22" s="30"/>
      <c r="AK22" s="30">
        <v>73910.070000000007</v>
      </c>
    </row>
    <row r="23" spans="1:37" ht="12.75" customHeight="1">
      <c r="A23" s="6" t="s">
        <v>37</v>
      </c>
      <c r="J23" s="58">
        <f>SUM(J25:J37)</f>
        <v>1429590.6980000003</v>
      </c>
      <c r="M23" s="58">
        <f>SUM(M25:M37)</f>
        <v>1683633.1169999999</v>
      </c>
      <c r="O23" s="58">
        <f>SUM(O25:O37)</f>
        <v>2224210.6589999995</v>
      </c>
      <c r="R23" s="58">
        <f t="shared" ref="R23:AC23" si="13">SUM(R25:R37)</f>
        <v>2793337.7059999998</v>
      </c>
      <c r="S23" s="58">
        <f t="shared" si="13"/>
        <v>2537761.0860000001</v>
      </c>
      <c r="T23" s="67">
        <f t="shared" si="13"/>
        <v>2214529.42</v>
      </c>
      <c r="U23" s="58">
        <f t="shared" si="13"/>
        <v>2555421.3529999997</v>
      </c>
      <c r="V23" s="58">
        <f t="shared" si="13"/>
        <v>2256770.7650000001</v>
      </c>
      <c r="W23" s="58">
        <f t="shared" si="13"/>
        <v>3241126.9009999996</v>
      </c>
      <c r="X23" s="58">
        <f t="shared" si="13"/>
        <v>3088044.32</v>
      </c>
      <c r="Y23" s="58">
        <f t="shared" si="13"/>
        <v>3814624.0270000002</v>
      </c>
      <c r="Z23" s="58">
        <f t="shared" si="13"/>
        <v>4492463.8470000001</v>
      </c>
      <c r="AA23" s="58">
        <f t="shared" si="13"/>
        <v>4380477.7619999992</v>
      </c>
      <c r="AB23" s="58">
        <f t="shared" si="13"/>
        <v>5335531.2320000008</v>
      </c>
      <c r="AC23" s="58">
        <f t="shared" si="13"/>
        <v>5893743</v>
      </c>
      <c r="AD23" s="58">
        <f>SUM(AD25:AD37)</f>
        <v>6477423.7420000015</v>
      </c>
      <c r="AE23" s="58">
        <f t="shared" ref="AE23:AK23" si="14">SUM(AE25:AE37)</f>
        <v>6361458.5440000016</v>
      </c>
      <c r="AF23" s="58">
        <f>SUM(AF25:AF37)</f>
        <v>3705063.2259999998</v>
      </c>
      <c r="AG23" s="58">
        <f t="shared" si="14"/>
        <v>8114718.0549999997</v>
      </c>
      <c r="AH23" s="58">
        <f t="shared" si="14"/>
        <v>7488610.7409999995</v>
      </c>
      <c r="AI23" s="58">
        <f t="shared" si="14"/>
        <v>7779368.7110000001</v>
      </c>
      <c r="AJ23" s="58">
        <f t="shared" si="14"/>
        <v>0</v>
      </c>
      <c r="AK23" s="58">
        <f t="shared" si="14"/>
        <v>9016503.7530000005</v>
      </c>
    </row>
    <row r="24" spans="1:37" ht="12.75" customHeight="1">
      <c r="A24" s="6" t="s">
        <v>94</v>
      </c>
      <c r="T24" s="51"/>
      <c r="AA24" s="10">
        <v>0</v>
      </c>
      <c r="AD24" s="1">
        <v>0</v>
      </c>
      <c r="AE24" s="1">
        <v>0</v>
      </c>
      <c r="AF24" s="1">
        <v>0</v>
      </c>
      <c r="AH24" s="1">
        <v>0</v>
      </c>
      <c r="AI24" s="1">
        <v>0</v>
      </c>
    </row>
    <row r="25" spans="1:37" ht="12.75" customHeight="1">
      <c r="A25" s="1" t="s">
        <v>38</v>
      </c>
      <c r="J25" s="157">
        <v>19339.157999999999</v>
      </c>
      <c r="M25" s="1">
        <v>25793.86</v>
      </c>
      <c r="O25" s="1">
        <v>22218.552</v>
      </c>
      <c r="R25" s="20">
        <v>16854.612000000001</v>
      </c>
      <c r="S25" s="1">
        <v>16644.822</v>
      </c>
      <c r="T25" s="51">
        <v>15542.366</v>
      </c>
      <c r="U25" s="1">
        <v>14336.376</v>
      </c>
      <c r="V25" s="1">
        <v>14564.873</v>
      </c>
      <c r="W25" s="157">
        <v>14101.079</v>
      </c>
      <c r="X25" s="157">
        <v>14653.002</v>
      </c>
      <c r="Y25" s="157">
        <v>19580.257000000001</v>
      </c>
      <c r="Z25" s="157">
        <v>20135.217000000001</v>
      </c>
      <c r="AA25" s="157">
        <v>46228.624000000003</v>
      </c>
      <c r="AB25" s="157">
        <v>41909.703999999998</v>
      </c>
      <c r="AC25" s="157">
        <v>73324</v>
      </c>
      <c r="AD25" s="1">
        <v>100142.255</v>
      </c>
      <c r="AE25" s="1">
        <v>68413.216</v>
      </c>
      <c r="AF25" s="1">
        <v>35350.864000000001</v>
      </c>
      <c r="AG25" s="1">
        <v>41609.785000000003</v>
      </c>
      <c r="AH25" s="1">
        <v>36021.673000000003</v>
      </c>
      <c r="AI25" s="1">
        <v>26162.739000000001</v>
      </c>
      <c r="AK25" s="1">
        <v>37710.491000000002</v>
      </c>
    </row>
    <row r="26" spans="1:37" ht="12.75" customHeight="1">
      <c r="A26" s="1" t="s">
        <v>39</v>
      </c>
      <c r="J26" s="157">
        <v>43403.489000000001</v>
      </c>
      <c r="M26" s="1">
        <v>60894.154999999999</v>
      </c>
      <c r="O26" s="1">
        <v>72744.448999999993</v>
      </c>
      <c r="R26" s="20">
        <v>84844.7</v>
      </c>
      <c r="S26" s="1">
        <v>94004.065000000002</v>
      </c>
      <c r="T26" s="51">
        <v>96039.407000000007</v>
      </c>
      <c r="U26" s="1">
        <v>70124.453999999998</v>
      </c>
      <c r="V26" s="1">
        <v>88617.163</v>
      </c>
      <c r="W26" s="157">
        <v>78460.664999999994</v>
      </c>
      <c r="X26" s="157">
        <v>120629.70299999999</v>
      </c>
      <c r="Y26" s="157">
        <v>164578.24400000001</v>
      </c>
      <c r="Z26" s="157">
        <v>161447.359</v>
      </c>
      <c r="AA26" s="157">
        <v>285041.48499999999</v>
      </c>
      <c r="AB26" s="157">
        <v>213508.598</v>
      </c>
      <c r="AC26" s="157">
        <v>160066</v>
      </c>
      <c r="AD26" s="1">
        <v>201606.22899999999</v>
      </c>
      <c r="AE26" s="1">
        <v>279392.31400000001</v>
      </c>
      <c r="AF26" s="1">
        <v>204921.033</v>
      </c>
      <c r="AG26" s="1">
        <v>409786.43800000002</v>
      </c>
      <c r="AH26" s="1">
        <v>372948.63099999999</v>
      </c>
      <c r="AI26" s="1">
        <v>392599.23300000001</v>
      </c>
      <c r="AK26" s="1">
        <v>367430.23100000003</v>
      </c>
    </row>
    <row r="27" spans="1:37" ht="12.75" customHeight="1">
      <c r="A27" s="1" t="s">
        <v>40</v>
      </c>
      <c r="J27" s="157">
        <v>706770.16399999999</v>
      </c>
      <c r="M27" s="1">
        <v>908410.48899999994</v>
      </c>
      <c r="O27" s="1">
        <v>1220901.0249999999</v>
      </c>
      <c r="R27" s="20">
        <v>1490613.8149999999</v>
      </c>
      <c r="S27" s="1">
        <v>1232984.733</v>
      </c>
      <c r="T27" s="51">
        <v>770201.21</v>
      </c>
      <c r="U27" s="1">
        <v>1058750.0179999999</v>
      </c>
      <c r="V27" s="1">
        <v>1119253.7239999999</v>
      </c>
      <c r="W27" s="157">
        <v>1306029.6869999999</v>
      </c>
      <c r="X27" s="157">
        <v>1372060.108</v>
      </c>
      <c r="Y27" s="157">
        <v>1939186.6</v>
      </c>
      <c r="Z27" s="157">
        <v>3027204.8709999998</v>
      </c>
      <c r="AA27" s="157">
        <v>2758338.7319999998</v>
      </c>
      <c r="AB27" s="157">
        <v>3148958.469</v>
      </c>
      <c r="AC27" s="157">
        <v>3786250</v>
      </c>
      <c r="AD27" s="1">
        <v>4348342.57</v>
      </c>
      <c r="AE27" s="1">
        <v>4087936.5150000001</v>
      </c>
      <c r="AF27" s="1">
        <v>2400173.1889999998</v>
      </c>
      <c r="AG27" s="1">
        <v>5169486.3269999996</v>
      </c>
      <c r="AH27" s="1">
        <v>4767475.1169999996</v>
      </c>
      <c r="AI27" s="1">
        <v>5141860.625</v>
      </c>
      <c r="AK27" s="1">
        <v>6178826.6770000001</v>
      </c>
    </row>
    <row r="28" spans="1:37" ht="12.75" customHeight="1">
      <c r="A28" s="1" t="s">
        <v>41</v>
      </c>
      <c r="J28" s="157">
        <v>103949.499</v>
      </c>
      <c r="M28" s="1">
        <v>117683.32399999999</v>
      </c>
      <c r="O28" s="1">
        <v>160938.02460000003</v>
      </c>
      <c r="R28" s="20">
        <v>184631.777</v>
      </c>
      <c r="S28" s="1">
        <v>217395.74799999999</v>
      </c>
      <c r="T28" s="51">
        <v>152858.73699999999</v>
      </c>
      <c r="U28" s="1">
        <v>150676.54199999999</v>
      </c>
      <c r="V28" s="1">
        <v>92827.380999999994</v>
      </c>
      <c r="W28" s="157">
        <v>607090.96299999999</v>
      </c>
      <c r="X28" s="157">
        <v>220701.58799999999</v>
      </c>
      <c r="Y28" s="157">
        <v>243174.46</v>
      </c>
      <c r="Z28" s="157">
        <v>270243.924</v>
      </c>
      <c r="AA28" s="157">
        <v>374824.73100000003</v>
      </c>
      <c r="AB28" s="157">
        <v>540451.87699999998</v>
      </c>
      <c r="AC28" s="157">
        <v>343437</v>
      </c>
      <c r="AD28" s="1">
        <v>358118.05300000001</v>
      </c>
      <c r="AE28" s="1">
        <v>355690.03100000002</v>
      </c>
      <c r="AF28" s="1">
        <v>161597.13800000001</v>
      </c>
      <c r="AG28" s="1">
        <v>395332.44099999999</v>
      </c>
      <c r="AH28" s="1">
        <v>448818.99400000001</v>
      </c>
      <c r="AI28" s="1">
        <v>487795.15500000003</v>
      </c>
      <c r="AK28" s="1">
        <v>630848.46299999999</v>
      </c>
    </row>
    <row r="29" spans="1:37" ht="12.75" customHeight="1">
      <c r="A29" s="1" t="s">
        <v>42</v>
      </c>
      <c r="J29" s="157">
        <v>10201.326999999999</v>
      </c>
      <c r="M29" s="1">
        <v>8886.8909999999996</v>
      </c>
      <c r="O29" s="1">
        <v>11967.293</v>
      </c>
      <c r="R29" s="20">
        <v>13488.161</v>
      </c>
      <c r="S29" s="1">
        <v>11722.233</v>
      </c>
      <c r="T29" s="51">
        <v>14220.357</v>
      </c>
      <c r="U29" s="1">
        <v>41918.775999999998</v>
      </c>
      <c r="V29" s="1">
        <v>1519.0840000000001</v>
      </c>
      <c r="W29" s="157">
        <v>67359.611999999994</v>
      </c>
      <c r="X29" s="157">
        <v>21708.972000000002</v>
      </c>
      <c r="Y29" s="157">
        <v>12198.987999999999</v>
      </c>
      <c r="Z29" s="157">
        <v>34720.673999999999</v>
      </c>
      <c r="AA29" s="157">
        <v>15297.079</v>
      </c>
      <c r="AB29" s="157">
        <v>22197.662</v>
      </c>
      <c r="AC29" s="157">
        <v>21788</v>
      </c>
      <c r="AD29" s="1">
        <v>23786.395</v>
      </c>
      <c r="AE29" s="1">
        <v>21753.483</v>
      </c>
      <c r="AF29" s="1">
        <v>18478.081999999999</v>
      </c>
      <c r="AG29" s="1">
        <v>19276.342000000001</v>
      </c>
      <c r="AH29" s="1">
        <v>22006.078000000001</v>
      </c>
      <c r="AI29" s="1">
        <v>20178.263999999999</v>
      </c>
      <c r="AK29" s="1">
        <v>18132.621999999999</v>
      </c>
    </row>
    <row r="30" spans="1:37" ht="12.75" customHeight="1">
      <c r="A30" s="1" t="s">
        <v>43</v>
      </c>
      <c r="J30" s="157">
        <v>27306.521000000001</v>
      </c>
      <c r="M30" s="1">
        <v>33347.209000000003</v>
      </c>
      <c r="O30" s="1">
        <v>29099.826000000001</v>
      </c>
      <c r="R30" s="20">
        <v>36090.786999999997</v>
      </c>
      <c r="S30" s="1">
        <v>42229.161999999997</v>
      </c>
      <c r="T30" s="51">
        <v>29205.957999999999</v>
      </c>
      <c r="U30" s="1">
        <v>30116.881000000001</v>
      </c>
      <c r="V30" s="1">
        <v>21293.047999999999</v>
      </c>
      <c r="W30" s="157">
        <v>29655.348000000002</v>
      </c>
      <c r="X30" s="157">
        <v>34799.730000000003</v>
      </c>
      <c r="Y30" s="157">
        <v>25819.916000000001</v>
      </c>
      <c r="Z30" s="157">
        <v>49280.959000000003</v>
      </c>
      <c r="AA30" s="157">
        <v>22510.187999999998</v>
      </c>
      <c r="AB30" s="157">
        <v>42463.093000000001</v>
      </c>
      <c r="AC30" s="157">
        <v>46104</v>
      </c>
      <c r="AD30" s="1">
        <v>41987.775000000001</v>
      </c>
      <c r="AE30" s="1">
        <v>40214.383999999998</v>
      </c>
      <c r="AF30" s="1">
        <v>30739.935000000001</v>
      </c>
      <c r="AG30" s="1">
        <v>42972.201000000001</v>
      </c>
      <c r="AH30" s="1">
        <v>46418.548999999999</v>
      </c>
      <c r="AI30" s="1">
        <v>47176.141000000003</v>
      </c>
      <c r="AK30" s="1">
        <v>47986.504999999997</v>
      </c>
    </row>
    <row r="31" spans="1:37" ht="12.75" customHeight="1">
      <c r="A31" s="1" t="s">
        <v>44</v>
      </c>
      <c r="J31" s="157">
        <v>28356.501</v>
      </c>
      <c r="M31" s="1">
        <v>35314.591</v>
      </c>
      <c r="O31" s="1">
        <v>43700.383999999998</v>
      </c>
      <c r="R31" s="27">
        <v>47805.633999999998</v>
      </c>
      <c r="S31" s="1">
        <v>48653.033000000003</v>
      </c>
      <c r="T31" s="51">
        <v>50263.404999999999</v>
      </c>
      <c r="U31" s="1">
        <v>58993.356</v>
      </c>
      <c r="V31" s="1">
        <v>46883.735000000001</v>
      </c>
      <c r="W31" s="157">
        <v>56618.667000000001</v>
      </c>
      <c r="X31" s="157">
        <v>57563.587</v>
      </c>
      <c r="Y31" s="157">
        <v>61873.868999999999</v>
      </c>
      <c r="Z31" s="157">
        <v>52592.074000000001</v>
      </c>
      <c r="AA31" s="157">
        <v>52564.326000000001</v>
      </c>
      <c r="AB31" s="157">
        <v>83058.702999999994</v>
      </c>
      <c r="AC31" s="157">
        <v>81370</v>
      </c>
      <c r="AD31" s="1">
        <v>74013.487999999998</v>
      </c>
      <c r="AE31" s="1">
        <v>85995.9</v>
      </c>
      <c r="AF31" s="1">
        <v>42420.690999999999</v>
      </c>
      <c r="AG31" s="1">
        <v>88618.834000000003</v>
      </c>
      <c r="AH31" s="1">
        <v>86815.288</v>
      </c>
      <c r="AI31" s="1">
        <v>96075.213000000003</v>
      </c>
      <c r="AK31" s="1">
        <v>93029.570999999996</v>
      </c>
    </row>
    <row r="32" spans="1:37" ht="12.75" customHeight="1">
      <c r="A32" s="1" t="s">
        <v>45</v>
      </c>
      <c r="J32" s="157">
        <v>24996.542000000001</v>
      </c>
      <c r="M32" s="1">
        <v>23863.106</v>
      </c>
      <c r="O32" s="1">
        <v>33178.106</v>
      </c>
      <c r="R32" s="27">
        <v>38206.587</v>
      </c>
      <c r="S32" s="1">
        <v>45188.021999999997</v>
      </c>
      <c r="T32" s="51">
        <v>62672.481</v>
      </c>
      <c r="U32" s="1">
        <v>67217.576000000001</v>
      </c>
      <c r="V32" s="1">
        <v>60005.290999999997</v>
      </c>
      <c r="W32" s="157">
        <v>67005.680999999997</v>
      </c>
      <c r="X32" s="157">
        <v>88748.217000000004</v>
      </c>
      <c r="Y32" s="157">
        <v>67086.995999999999</v>
      </c>
      <c r="Z32" s="157">
        <v>118549.132</v>
      </c>
      <c r="AA32" s="157">
        <v>120815.618</v>
      </c>
      <c r="AB32" s="157">
        <v>115326.556</v>
      </c>
      <c r="AC32" s="157">
        <v>54636</v>
      </c>
      <c r="AD32" s="1">
        <v>50661.127</v>
      </c>
      <c r="AE32" s="1">
        <v>96107.956999999995</v>
      </c>
      <c r="AF32" s="1">
        <v>21821.859</v>
      </c>
      <c r="AG32" s="1">
        <v>113640.48299999999</v>
      </c>
      <c r="AH32" s="1">
        <v>123362.939</v>
      </c>
      <c r="AI32" s="1">
        <v>117474.766</v>
      </c>
      <c r="AK32" s="1">
        <v>177257.986</v>
      </c>
    </row>
    <row r="33" spans="1:37" ht="12.75" customHeight="1">
      <c r="A33" s="1" t="s">
        <v>46</v>
      </c>
      <c r="J33" s="157">
        <v>132668.193</v>
      </c>
      <c r="M33" s="1">
        <v>77391.226999999999</v>
      </c>
      <c r="O33" s="1">
        <v>144006.9614</v>
      </c>
      <c r="R33" s="27">
        <v>215553.63500000001</v>
      </c>
      <c r="S33" s="1">
        <v>143704.56299999999</v>
      </c>
      <c r="T33" s="51">
        <v>147723.467</v>
      </c>
      <c r="U33" s="1">
        <v>187655.75899999999</v>
      </c>
      <c r="V33" s="1">
        <v>184718.65299999999</v>
      </c>
      <c r="W33" s="157">
        <v>190101.24</v>
      </c>
      <c r="X33" s="157">
        <v>242491.43799999999</v>
      </c>
      <c r="Y33" s="157">
        <v>212121.94500000001</v>
      </c>
      <c r="Z33" s="157">
        <v>278423.92099999997</v>
      </c>
      <c r="AA33" s="157">
        <v>235043.50200000001</v>
      </c>
      <c r="AB33" s="157">
        <v>281462.11499999999</v>
      </c>
      <c r="AC33" s="157">
        <v>383091</v>
      </c>
      <c r="AD33" s="1">
        <v>388037.13199999998</v>
      </c>
      <c r="AE33" s="1">
        <v>386049.20699999999</v>
      </c>
      <c r="AF33" s="1">
        <v>398392.96</v>
      </c>
      <c r="AG33" s="1">
        <v>396854.658</v>
      </c>
      <c r="AH33" s="1">
        <v>424166.53</v>
      </c>
      <c r="AI33" s="1">
        <v>214213.89</v>
      </c>
      <c r="AK33" s="1">
        <v>230049.73199999999</v>
      </c>
    </row>
    <row r="34" spans="1:37" ht="12.75" customHeight="1">
      <c r="A34" s="1" t="s">
        <v>47</v>
      </c>
      <c r="J34" s="157">
        <v>41231.404000000002</v>
      </c>
      <c r="M34" s="1">
        <v>67857.510999999999</v>
      </c>
      <c r="O34" s="1">
        <v>89554.294999999998</v>
      </c>
      <c r="R34" s="20">
        <v>145418.99900000001</v>
      </c>
      <c r="S34" s="1">
        <v>122052.591</v>
      </c>
      <c r="T34" s="51">
        <v>243775.144</v>
      </c>
      <c r="U34" s="1">
        <v>207276.46400000001</v>
      </c>
      <c r="V34" s="1">
        <v>114606.8</v>
      </c>
      <c r="W34" s="157">
        <v>157570.85999999999</v>
      </c>
      <c r="X34" s="157">
        <v>180725.37700000001</v>
      </c>
      <c r="Y34" s="157">
        <v>225653</v>
      </c>
      <c r="Z34" s="157">
        <v>114380.58500000001</v>
      </c>
      <c r="AA34" s="157">
        <v>136126.698</v>
      </c>
      <c r="AB34" s="157">
        <v>248813.72200000001</v>
      </c>
      <c r="AC34" s="157">
        <v>357700</v>
      </c>
      <c r="AD34" s="1">
        <v>218254.59700000001</v>
      </c>
      <c r="AE34" s="1">
        <v>217058.122</v>
      </c>
      <c r="AF34" s="1">
        <v>145507.00399999999</v>
      </c>
      <c r="AG34" s="1">
        <v>608261.02599999995</v>
      </c>
      <c r="AH34" s="1">
        <v>245945.35800000001</v>
      </c>
      <c r="AI34" s="1">
        <v>202517.44500000001</v>
      </c>
      <c r="AK34" s="1">
        <v>195859.815</v>
      </c>
    </row>
    <row r="35" spans="1:37" ht="12.75" customHeight="1">
      <c r="A35" s="1" t="s">
        <v>48</v>
      </c>
      <c r="J35" s="157">
        <v>154101.32699999999</v>
      </c>
      <c r="M35" s="1">
        <v>179826.13699999999</v>
      </c>
      <c r="O35" s="1">
        <v>213804.00399999999</v>
      </c>
      <c r="R35" s="20">
        <v>291504.46299999999</v>
      </c>
      <c r="S35" s="1">
        <v>328072.23300000001</v>
      </c>
      <c r="T35" s="51">
        <v>385554.62300000002</v>
      </c>
      <c r="U35" s="1">
        <v>425822.97</v>
      </c>
      <c r="V35" s="1">
        <v>308062.50400000002</v>
      </c>
      <c r="W35" s="157">
        <v>433348.391</v>
      </c>
      <c r="X35" s="157">
        <v>499752.12099999998</v>
      </c>
      <c r="Y35" s="157">
        <v>538128.93200000003</v>
      </c>
      <c r="Z35" s="157">
        <v>48520.294999999998</v>
      </c>
      <c r="AA35" s="157">
        <v>46536.334000000003</v>
      </c>
      <c r="AB35" s="157">
        <v>268954.663</v>
      </c>
      <c r="AC35" s="157">
        <v>232227</v>
      </c>
      <c r="AD35" s="1">
        <v>262875.92599999998</v>
      </c>
      <c r="AE35" s="1">
        <v>310474.81300000002</v>
      </c>
      <c r="AF35" s="1">
        <v>33117.862999999998</v>
      </c>
      <c r="AG35" s="1">
        <v>383047.94900000002</v>
      </c>
      <c r="AH35" s="1">
        <v>427914.53899999999</v>
      </c>
      <c r="AI35" s="1">
        <v>519516.66399999999</v>
      </c>
      <c r="AK35" s="1">
        <v>514073.33899999998</v>
      </c>
    </row>
    <row r="36" spans="1:37" ht="12.75" customHeight="1">
      <c r="A36" s="1" t="s">
        <v>49</v>
      </c>
      <c r="J36" s="157">
        <v>115174.323</v>
      </c>
      <c r="M36" s="1">
        <v>120268.765</v>
      </c>
      <c r="O36" s="1">
        <v>158335.459</v>
      </c>
      <c r="R36" s="20">
        <v>197853.73199999999</v>
      </c>
      <c r="S36" s="1">
        <v>198457.77499999999</v>
      </c>
      <c r="T36" s="51">
        <v>224865.01</v>
      </c>
      <c r="U36" s="1">
        <v>219278.408</v>
      </c>
      <c r="V36" s="1">
        <v>180212.65700000001</v>
      </c>
      <c r="W36" s="157">
        <v>206611</v>
      </c>
      <c r="X36" s="157">
        <v>209059.973</v>
      </c>
      <c r="Y36" s="157">
        <v>279655.45500000002</v>
      </c>
      <c r="Z36" s="157">
        <v>285202.92099999997</v>
      </c>
      <c r="AA36" s="157">
        <v>263988.46399999998</v>
      </c>
      <c r="AB36" s="157">
        <v>302184.90500000003</v>
      </c>
      <c r="AC36" s="157">
        <v>323121</v>
      </c>
      <c r="AD36" s="1">
        <v>342183.97899999999</v>
      </c>
      <c r="AE36" s="1">
        <v>375945.57900000003</v>
      </c>
      <c r="AF36" s="1">
        <v>192309.77299999999</v>
      </c>
      <c r="AG36" s="1">
        <v>413915.42700000003</v>
      </c>
      <c r="AH36" s="1">
        <v>407814.386</v>
      </c>
      <c r="AI36" s="1">
        <v>443347.73700000002</v>
      </c>
      <c r="AK36" s="1">
        <v>492391.321</v>
      </c>
    </row>
    <row r="37" spans="1:37" ht="12.75" customHeight="1">
      <c r="A37" s="30" t="s">
        <v>50</v>
      </c>
      <c r="B37" s="30"/>
      <c r="C37" s="30"/>
      <c r="D37" s="30"/>
      <c r="E37" s="30"/>
      <c r="F37" s="30"/>
      <c r="G37" s="30"/>
      <c r="H37" s="30"/>
      <c r="I37" s="30"/>
      <c r="J37" s="158">
        <v>22092.25</v>
      </c>
      <c r="K37" s="30"/>
      <c r="L37" s="30"/>
      <c r="M37" s="30">
        <v>24095.851999999999</v>
      </c>
      <c r="N37" s="30"/>
      <c r="O37" s="30">
        <v>23762.28</v>
      </c>
      <c r="P37" s="30"/>
      <c r="Q37" s="30"/>
      <c r="R37" s="40">
        <v>30470.804</v>
      </c>
      <c r="S37" s="30">
        <v>36652.106</v>
      </c>
      <c r="T37" s="68">
        <v>21607.255000000001</v>
      </c>
      <c r="U37" s="30">
        <v>23253.773000000001</v>
      </c>
      <c r="V37" s="30">
        <v>24205.851999999999</v>
      </c>
      <c r="W37" s="158">
        <v>27173.707999999999</v>
      </c>
      <c r="X37" s="158">
        <v>25150.504000000001</v>
      </c>
      <c r="Y37" s="158">
        <v>25565.365000000002</v>
      </c>
      <c r="Z37" s="158">
        <v>31761.915000000001</v>
      </c>
      <c r="AA37" s="158">
        <v>23161.981</v>
      </c>
      <c r="AB37" s="158">
        <v>26241.165000000001</v>
      </c>
      <c r="AC37" s="158">
        <v>30629</v>
      </c>
      <c r="AD37" s="30">
        <v>67414.216</v>
      </c>
      <c r="AE37" s="30">
        <v>36427.023000000001</v>
      </c>
      <c r="AF37" s="30">
        <v>20232.834999999999</v>
      </c>
      <c r="AG37" s="30">
        <v>31916.144</v>
      </c>
      <c r="AH37" s="30">
        <v>78902.659</v>
      </c>
      <c r="AI37" s="30">
        <v>70450.839000000007</v>
      </c>
      <c r="AJ37" s="30"/>
      <c r="AK37" s="30">
        <v>32907</v>
      </c>
    </row>
    <row r="38" spans="1:37" ht="12.75" customHeight="1">
      <c r="A38" s="6" t="s">
        <v>51</v>
      </c>
      <c r="J38" s="58">
        <f>SUM(J40:J51)</f>
        <v>1573840.219</v>
      </c>
      <c r="M38" s="58">
        <f>SUM(M40:M51)</f>
        <v>1843205.0630000001</v>
      </c>
      <c r="O38" s="58">
        <f>SUM(O40:O51)</f>
        <v>2231547.2122899997</v>
      </c>
      <c r="R38" s="58">
        <f t="shared" ref="R38:AK38" si="15">SUM(R40:R51)</f>
        <v>2578477.7349999999</v>
      </c>
      <c r="S38" s="58">
        <f t="shared" si="15"/>
        <v>2645444.89</v>
      </c>
      <c r="T38" s="67">
        <f t="shared" si="15"/>
        <v>2883536.8790000007</v>
      </c>
      <c r="U38" s="58">
        <f t="shared" si="15"/>
        <v>3085749.7230000002</v>
      </c>
      <c r="V38" s="58">
        <f t="shared" si="15"/>
        <v>4097911.8540000007</v>
      </c>
      <c r="W38" s="58">
        <f t="shared" si="15"/>
        <v>3364970.1520000002</v>
      </c>
      <c r="X38" s="58">
        <f t="shared" si="15"/>
        <v>3786536.5279999995</v>
      </c>
      <c r="Y38" s="58">
        <f t="shared" si="15"/>
        <v>3736642.3269999996</v>
      </c>
      <c r="Z38" s="58">
        <f t="shared" si="15"/>
        <v>3406861.6710000001</v>
      </c>
      <c r="AA38" s="58">
        <f t="shared" si="15"/>
        <v>3618156.5869999998</v>
      </c>
      <c r="AB38" s="58">
        <f t="shared" si="15"/>
        <v>4766216.915</v>
      </c>
      <c r="AC38" s="58">
        <f t="shared" si="15"/>
        <v>5153166</v>
      </c>
      <c r="AD38" s="58">
        <f t="shared" si="15"/>
        <v>5145852.08</v>
      </c>
      <c r="AE38" s="58">
        <f t="shared" si="15"/>
        <v>5554100.4469999988</v>
      </c>
      <c r="AF38" s="58">
        <f>SUM(AF40:AF51)</f>
        <v>3723673.4670000002</v>
      </c>
      <c r="AG38" s="58">
        <f t="shared" si="15"/>
        <v>6191205.6560000004</v>
      </c>
      <c r="AH38" s="58">
        <f t="shared" si="15"/>
        <v>6717870.0099999988</v>
      </c>
      <c r="AI38" s="58">
        <f t="shared" si="15"/>
        <v>7110965.584999999</v>
      </c>
      <c r="AJ38" s="58">
        <f t="shared" si="15"/>
        <v>0</v>
      </c>
      <c r="AK38" s="58">
        <f t="shared" si="15"/>
        <v>6498359.8739999998</v>
      </c>
    </row>
    <row r="39" spans="1:37" ht="12.75" customHeight="1">
      <c r="A39" s="6" t="s">
        <v>94</v>
      </c>
      <c r="T39" s="51"/>
      <c r="AA39" s="10">
        <v>0</v>
      </c>
      <c r="AD39" s="1">
        <v>0</v>
      </c>
      <c r="AE39" s="1">
        <v>0</v>
      </c>
      <c r="AF39" s="1">
        <v>0</v>
      </c>
      <c r="AH39" s="1">
        <v>0</v>
      </c>
      <c r="AI39" s="1">
        <v>0</v>
      </c>
    </row>
    <row r="40" spans="1:37" ht="12.75" customHeight="1">
      <c r="A40" s="1" t="s">
        <v>52</v>
      </c>
      <c r="J40" s="157">
        <v>227578.019</v>
      </c>
      <c r="M40" s="1">
        <v>304399.71100000001</v>
      </c>
      <c r="O40" s="1">
        <v>392582.821</v>
      </c>
      <c r="R40" s="20">
        <v>419961.51299999998</v>
      </c>
      <c r="S40" s="1">
        <v>416010.75</v>
      </c>
      <c r="T40" s="51">
        <v>794351.96200000006</v>
      </c>
      <c r="U40" s="1">
        <v>917260.56400000001</v>
      </c>
      <c r="V40" s="1">
        <v>1858214.5349999999</v>
      </c>
      <c r="W40" s="157">
        <v>986805.53599999996</v>
      </c>
      <c r="X40" s="157">
        <v>1213680.3929999999</v>
      </c>
      <c r="Y40" s="157">
        <v>1180747.496</v>
      </c>
      <c r="Z40" s="157">
        <v>1326343.0009999999</v>
      </c>
      <c r="AA40" s="157">
        <v>1422637.4709999999</v>
      </c>
      <c r="AB40" s="157">
        <v>1570633.4010000001</v>
      </c>
      <c r="AC40" s="157">
        <v>1698051</v>
      </c>
      <c r="AD40" s="1">
        <v>1896029.098</v>
      </c>
      <c r="AE40" s="1">
        <v>2318608.7429999998</v>
      </c>
      <c r="AF40" s="1">
        <v>1960802.7660000001</v>
      </c>
      <c r="AG40" s="1">
        <v>2550120.2779999999</v>
      </c>
      <c r="AH40" s="1">
        <v>2998276.0819999999</v>
      </c>
      <c r="AI40" s="1">
        <v>3459849.4479999999</v>
      </c>
      <c r="AK40" s="1">
        <v>2364319.5430000001</v>
      </c>
    </row>
    <row r="41" spans="1:37" ht="12.75" customHeight="1">
      <c r="A41" s="1" t="s">
        <v>53</v>
      </c>
      <c r="J41" s="157">
        <v>176714.30799999999</v>
      </c>
      <c r="M41" s="1">
        <v>224821.78700000001</v>
      </c>
      <c r="O41" s="1">
        <v>263614.32799999998</v>
      </c>
      <c r="R41" s="20">
        <v>330259.65399999998</v>
      </c>
      <c r="S41" s="1">
        <v>368467.04200000002</v>
      </c>
      <c r="T41" s="51">
        <v>300838.57</v>
      </c>
      <c r="U41" s="1">
        <v>292234.13699999999</v>
      </c>
      <c r="V41" s="1">
        <v>301801.09700000001</v>
      </c>
      <c r="W41" s="157">
        <v>331399.45500000002</v>
      </c>
      <c r="X41" s="157">
        <v>373706.348</v>
      </c>
      <c r="Y41" s="157">
        <v>360443.45199999999</v>
      </c>
      <c r="Z41" s="157">
        <v>417992.973</v>
      </c>
      <c r="AA41" s="157">
        <v>326219.125</v>
      </c>
      <c r="AB41" s="157">
        <v>389886.25900000002</v>
      </c>
      <c r="AC41" s="157">
        <v>428431</v>
      </c>
      <c r="AD41" s="1">
        <v>458425.63699999999</v>
      </c>
      <c r="AE41" s="1">
        <v>464895.63799999998</v>
      </c>
      <c r="AF41" s="1">
        <v>296862.33799999999</v>
      </c>
      <c r="AG41" s="1">
        <v>497419.61599999998</v>
      </c>
      <c r="AH41" s="1">
        <v>482969.73499999999</v>
      </c>
      <c r="AI41" s="1">
        <v>492974.59399999998</v>
      </c>
      <c r="AK41" s="1">
        <v>631689.82200000004</v>
      </c>
    </row>
    <row r="42" spans="1:37" ht="12.75" customHeight="1">
      <c r="A42" s="1" t="s">
        <v>54</v>
      </c>
      <c r="J42" s="157">
        <v>136339.337</v>
      </c>
      <c r="M42" s="1">
        <v>125837.151</v>
      </c>
      <c r="O42" s="1">
        <v>164273.85800000001</v>
      </c>
      <c r="R42" s="20">
        <v>180583.95699999999</v>
      </c>
      <c r="S42" s="1">
        <v>193541.514</v>
      </c>
      <c r="T42" s="51">
        <v>252537.32</v>
      </c>
      <c r="U42" s="1">
        <v>148348.83300000001</v>
      </c>
      <c r="V42" s="1">
        <v>178679.95300000001</v>
      </c>
      <c r="W42" s="157">
        <v>174527.226</v>
      </c>
      <c r="X42" s="157">
        <v>254198.00200000001</v>
      </c>
      <c r="Y42" s="157">
        <v>179688.9</v>
      </c>
      <c r="Z42" s="157">
        <v>244071.823</v>
      </c>
      <c r="AA42" s="157">
        <v>254965.70800000001</v>
      </c>
      <c r="AB42" s="157">
        <v>218294.7</v>
      </c>
      <c r="AC42" s="157">
        <v>229674</v>
      </c>
      <c r="AD42" s="1">
        <v>258781.758</v>
      </c>
      <c r="AE42" s="1">
        <v>245154.334</v>
      </c>
      <c r="AF42" s="1">
        <v>234958.32699999999</v>
      </c>
      <c r="AG42" s="1">
        <v>366202.70199999999</v>
      </c>
      <c r="AH42" s="1">
        <v>338457.35600000003</v>
      </c>
      <c r="AI42" s="1">
        <v>244152.95199999999</v>
      </c>
      <c r="AK42" s="1">
        <v>258160.49600000001</v>
      </c>
    </row>
    <row r="43" spans="1:37" ht="12.75" customHeight="1">
      <c r="A43" s="1" t="s">
        <v>55</v>
      </c>
      <c r="J43" s="157">
        <v>67922.342999999993</v>
      </c>
      <c r="M43" s="1">
        <v>91910.877999999997</v>
      </c>
      <c r="O43" s="1">
        <v>110039.75864</v>
      </c>
      <c r="R43" s="20">
        <v>149706.08799999999</v>
      </c>
      <c r="S43" s="1">
        <v>154765.492</v>
      </c>
      <c r="T43" s="51">
        <v>115042.181</v>
      </c>
      <c r="U43" s="1">
        <v>174880.927</v>
      </c>
      <c r="V43" s="1">
        <v>246423.58499999999</v>
      </c>
      <c r="W43" s="157">
        <v>238654.26300000001</v>
      </c>
      <c r="X43" s="157">
        <v>253990.16399999999</v>
      </c>
      <c r="Y43" s="157">
        <v>282601.30099999998</v>
      </c>
      <c r="Z43" s="157">
        <v>163691.06</v>
      </c>
      <c r="AA43" s="157">
        <v>194203.60399999999</v>
      </c>
      <c r="AB43" s="157">
        <v>246286.538</v>
      </c>
      <c r="AC43" s="157">
        <v>284829</v>
      </c>
      <c r="AD43" s="1">
        <v>321856.54700000002</v>
      </c>
      <c r="AE43" s="1">
        <v>241616.58499999999</v>
      </c>
      <c r="AF43" s="1">
        <v>104794.034</v>
      </c>
      <c r="AG43" s="1">
        <v>277798.19699999999</v>
      </c>
      <c r="AH43" s="1">
        <v>259919.52799999999</v>
      </c>
      <c r="AI43" s="1">
        <v>314529.57199999999</v>
      </c>
      <c r="AK43" s="1">
        <v>385888.05200000003</v>
      </c>
    </row>
    <row r="44" spans="1:37" ht="12.75" customHeight="1">
      <c r="A44" s="1" t="s">
        <v>56</v>
      </c>
      <c r="J44" s="157">
        <v>202346.81299999999</v>
      </c>
      <c r="M44" s="1">
        <v>249555.47700000001</v>
      </c>
      <c r="O44" s="1">
        <v>314191.03999999998</v>
      </c>
      <c r="R44" s="20">
        <v>464122.57400000002</v>
      </c>
      <c r="S44" s="1">
        <v>398971.76699999999</v>
      </c>
      <c r="T44" s="51">
        <v>306773.99800000002</v>
      </c>
      <c r="U44" s="1">
        <v>305710.76500000001</v>
      </c>
      <c r="V44" s="1">
        <v>335608.33199999999</v>
      </c>
      <c r="W44" s="157">
        <v>362472.35600000003</v>
      </c>
      <c r="X44" s="157">
        <v>382108.34899999999</v>
      </c>
      <c r="Y44" s="157">
        <v>455788.32</v>
      </c>
      <c r="Z44" s="157">
        <v>75954.903000000006</v>
      </c>
      <c r="AA44" s="157">
        <v>107220.057</v>
      </c>
      <c r="AB44" s="157">
        <v>525156.64</v>
      </c>
      <c r="AC44" s="157">
        <v>646420</v>
      </c>
      <c r="AD44" s="1">
        <v>583992.44900000002</v>
      </c>
      <c r="AE44" s="1">
        <v>568154.19999999995</v>
      </c>
      <c r="AF44" s="1">
        <v>172121.58300000001</v>
      </c>
      <c r="AG44" s="1">
        <v>651604.55900000001</v>
      </c>
      <c r="AH44" s="1">
        <v>623554.495</v>
      </c>
      <c r="AI44" s="1">
        <v>693192.43900000001</v>
      </c>
      <c r="AK44" s="1">
        <v>741053.24300000002</v>
      </c>
    </row>
    <row r="45" spans="1:37" ht="12.75" customHeight="1">
      <c r="A45" s="1" t="s">
        <v>57</v>
      </c>
      <c r="J45" s="157">
        <v>136962.60200000001</v>
      </c>
      <c r="M45" s="1">
        <v>160856.755</v>
      </c>
      <c r="O45" s="1">
        <v>170211.533</v>
      </c>
      <c r="R45" s="20">
        <v>161513.63200000001</v>
      </c>
      <c r="S45" s="1">
        <v>169715.04300000001</v>
      </c>
      <c r="T45" s="51">
        <v>181144.75599999999</v>
      </c>
      <c r="U45" s="1">
        <v>190331.83100000001</v>
      </c>
      <c r="V45" s="1">
        <v>273898.342</v>
      </c>
      <c r="W45" s="157">
        <v>349422.114</v>
      </c>
      <c r="X45" s="157">
        <v>286316.34399999998</v>
      </c>
      <c r="Y45" s="157">
        <v>225060.09</v>
      </c>
      <c r="Z45" s="157">
        <v>49331.444000000003</v>
      </c>
      <c r="AA45" s="157">
        <v>74589.391000000003</v>
      </c>
      <c r="AB45" s="157">
        <v>362836.44400000002</v>
      </c>
      <c r="AC45" s="157">
        <v>252383</v>
      </c>
      <c r="AD45" s="1">
        <v>224977.83</v>
      </c>
      <c r="AE45" s="1">
        <v>251656.88500000001</v>
      </c>
      <c r="AF45" s="1">
        <v>91638.591</v>
      </c>
      <c r="AG45" s="1">
        <v>235411.81899999999</v>
      </c>
      <c r="AH45" s="1">
        <v>286403.516</v>
      </c>
      <c r="AI45" s="1">
        <v>232499.53700000001</v>
      </c>
      <c r="AK45" s="1">
        <v>360564.79100000003</v>
      </c>
    </row>
    <row r="46" spans="1:37" ht="12.75" customHeight="1">
      <c r="A46" s="1" t="s">
        <v>58</v>
      </c>
      <c r="J46" s="157">
        <v>114040.38499999999</v>
      </c>
      <c r="M46" s="1">
        <v>147774.856</v>
      </c>
      <c r="O46" s="1">
        <v>181030.54399999999</v>
      </c>
      <c r="R46" s="20">
        <v>181809.08300000001</v>
      </c>
      <c r="S46" s="1">
        <v>188751.42499999999</v>
      </c>
      <c r="T46" s="51">
        <v>82654.668999999994</v>
      </c>
      <c r="U46" s="1">
        <v>150398.117</v>
      </c>
      <c r="V46" s="1">
        <v>151577.37899999999</v>
      </c>
      <c r="W46" s="157">
        <v>149694.24400000001</v>
      </c>
      <c r="X46" s="157">
        <v>172225.97899999999</v>
      </c>
      <c r="Y46" s="157">
        <v>137040.90700000001</v>
      </c>
      <c r="Z46" s="157">
        <v>105484.65399999999</v>
      </c>
      <c r="AA46" s="157">
        <v>114671.803</v>
      </c>
      <c r="AB46" s="157">
        <v>111341.11900000001</v>
      </c>
      <c r="AC46" s="157">
        <v>119584</v>
      </c>
      <c r="AD46" s="1">
        <v>186134.61900000001</v>
      </c>
      <c r="AE46" s="1">
        <v>145212.095</v>
      </c>
      <c r="AF46" s="1">
        <v>108640.576</v>
      </c>
      <c r="AG46" s="1">
        <v>175812.98199999999</v>
      </c>
      <c r="AH46" s="1">
        <v>181679.179</v>
      </c>
      <c r="AI46" s="1">
        <v>173331.139</v>
      </c>
      <c r="AK46" s="1">
        <v>173972.69099999999</v>
      </c>
    </row>
    <row r="47" spans="1:37" ht="12.75" customHeight="1">
      <c r="A47" s="1" t="s">
        <v>59</v>
      </c>
      <c r="J47" s="157">
        <v>36056.173000000003</v>
      </c>
      <c r="M47" s="1">
        <v>43478.277000000002</v>
      </c>
      <c r="O47" s="1">
        <v>96672.191999999995</v>
      </c>
      <c r="R47" s="27">
        <v>54593.514000000003</v>
      </c>
      <c r="S47" s="1">
        <v>63316.925000000003</v>
      </c>
      <c r="T47" s="51">
        <v>143513.02799999999</v>
      </c>
      <c r="U47" s="1">
        <v>132051.489</v>
      </c>
      <c r="V47" s="1">
        <v>68676.585999999996</v>
      </c>
      <c r="W47" s="157">
        <v>69550.414999999994</v>
      </c>
      <c r="X47" s="157">
        <v>68787.986000000004</v>
      </c>
      <c r="Y47" s="157">
        <v>82433.02</v>
      </c>
      <c r="Z47" s="157">
        <v>148928.12400000001</v>
      </c>
      <c r="AA47" s="157">
        <v>108262.251</v>
      </c>
      <c r="AB47" s="157">
        <v>146546.027</v>
      </c>
      <c r="AC47" s="157">
        <v>137536</v>
      </c>
      <c r="AD47" s="1">
        <v>92533.766000000003</v>
      </c>
      <c r="AE47" s="1">
        <v>125100.452</v>
      </c>
      <c r="AF47" s="1">
        <v>91322.455000000002</v>
      </c>
      <c r="AG47" s="1">
        <v>220061.86</v>
      </c>
      <c r="AH47" s="1">
        <v>147460.348</v>
      </c>
      <c r="AI47" s="1">
        <v>127299.413</v>
      </c>
      <c r="AK47" s="1">
        <v>189948.72500000001</v>
      </c>
    </row>
    <row r="48" spans="1:37" ht="12.75" customHeight="1">
      <c r="A48" s="1" t="s">
        <v>60</v>
      </c>
      <c r="J48" s="157">
        <v>37658.525999999998</v>
      </c>
      <c r="M48" s="1">
        <v>38521.478999999999</v>
      </c>
      <c r="O48" s="1">
        <v>43466.504999999997</v>
      </c>
      <c r="R48" s="20">
        <v>47243.135000000002</v>
      </c>
      <c r="S48" s="1">
        <v>56758.105000000003</v>
      </c>
      <c r="T48" s="51">
        <v>59938.292000000001</v>
      </c>
      <c r="U48" s="1">
        <v>57273.836000000003</v>
      </c>
      <c r="V48" s="1">
        <v>62101.364999999998</v>
      </c>
      <c r="W48" s="157">
        <v>48285.764000000003</v>
      </c>
      <c r="X48" s="157">
        <v>49354.510999999999</v>
      </c>
      <c r="Y48" s="157">
        <v>51558.951000000001</v>
      </c>
      <c r="Z48" s="157">
        <v>67075.691999999995</v>
      </c>
      <c r="AA48" s="157">
        <v>61651.1</v>
      </c>
      <c r="AB48" s="157">
        <v>63590.277999999998</v>
      </c>
      <c r="AC48" s="157">
        <v>65617</v>
      </c>
      <c r="AD48" s="1">
        <v>74239.395999999993</v>
      </c>
      <c r="AE48" s="1">
        <v>80244.667000000001</v>
      </c>
      <c r="AF48" s="1">
        <v>14250.209000000001</v>
      </c>
      <c r="AG48" s="1">
        <v>106467.58900000001</v>
      </c>
      <c r="AH48" s="1">
        <v>107737.34600000001</v>
      </c>
      <c r="AI48" s="1">
        <v>106760.969</v>
      </c>
      <c r="AK48" s="1">
        <v>99369.407999999996</v>
      </c>
    </row>
    <row r="49" spans="1:37" ht="12.75" customHeight="1">
      <c r="A49" s="1" t="s">
        <v>61</v>
      </c>
      <c r="J49" s="157">
        <v>226687.35800000001</v>
      </c>
      <c r="M49" s="1">
        <v>218894.18</v>
      </c>
      <c r="O49" s="1">
        <v>251666.35500000001</v>
      </c>
      <c r="R49" s="20">
        <v>275007.61700000003</v>
      </c>
      <c r="S49" s="1">
        <v>315874.413</v>
      </c>
      <c r="T49" s="51">
        <v>286631.78600000002</v>
      </c>
      <c r="U49" s="1">
        <v>301025.65999999997</v>
      </c>
      <c r="V49" s="1">
        <v>201386.6</v>
      </c>
      <c r="W49" s="157">
        <v>224974.84099999999</v>
      </c>
      <c r="X49" s="157">
        <v>248053.31400000001</v>
      </c>
      <c r="Y49" s="157">
        <v>264342.91700000002</v>
      </c>
      <c r="Z49" s="157">
        <v>265248.74</v>
      </c>
      <c r="AA49" s="157">
        <v>265309.886</v>
      </c>
      <c r="AB49" s="157">
        <v>492453.353</v>
      </c>
      <c r="AC49" s="157">
        <v>565602</v>
      </c>
      <c r="AD49" s="1">
        <v>279753.09600000002</v>
      </c>
      <c r="AE49" s="1">
        <v>289467.522</v>
      </c>
      <c r="AF49" s="1">
        <v>203762.875</v>
      </c>
      <c r="AG49" s="1">
        <v>301230.80300000001</v>
      </c>
      <c r="AH49" s="1">
        <v>384802.261</v>
      </c>
      <c r="AI49" s="1">
        <v>411912.11900000001</v>
      </c>
      <c r="AK49" s="1">
        <v>400501.76199999999</v>
      </c>
    </row>
    <row r="50" spans="1:37" ht="12.75" customHeight="1">
      <c r="A50" s="1" t="s">
        <v>62</v>
      </c>
      <c r="J50" s="157">
        <v>23708.166000000001</v>
      </c>
      <c r="M50" s="1">
        <v>29007.431</v>
      </c>
      <c r="O50" s="1">
        <v>33107.982650000005</v>
      </c>
      <c r="R50" s="20">
        <v>40307.014000000003</v>
      </c>
      <c r="S50" s="1">
        <v>36864.760999999999</v>
      </c>
      <c r="T50" s="51">
        <v>14171.49</v>
      </c>
      <c r="U50" s="1">
        <v>28893.219000000001</v>
      </c>
      <c r="V50" s="1">
        <v>35263.722000000002</v>
      </c>
      <c r="W50" s="157">
        <v>32222.493999999999</v>
      </c>
      <c r="X50" s="157">
        <v>37856.603999999999</v>
      </c>
      <c r="Y50" s="157">
        <v>39109.955999999998</v>
      </c>
      <c r="Z50" s="157">
        <v>47630.199000000001</v>
      </c>
      <c r="AA50" s="157">
        <v>87650.263999999996</v>
      </c>
      <c r="AB50" s="157">
        <v>81759.629000000001</v>
      </c>
      <c r="AC50" s="157">
        <v>84187</v>
      </c>
      <c r="AD50" s="1">
        <v>78024.976999999999</v>
      </c>
      <c r="AE50" s="1">
        <v>66973.016000000003</v>
      </c>
      <c r="AF50" s="1">
        <v>20638.21</v>
      </c>
      <c r="AG50" s="1">
        <v>64953.065000000002</v>
      </c>
      <c r="AH50" s="1">
        <v>79349.845000000001</v>
      </c>
      <c r="AI50" s="1">
        <v>75751.126999999993</v>
      </c>
      <c r="AK50" s="1">
        <v>68997.964000000007</v>
      </c>
    </row>
    <row r="51" spans="1:37" ht="12.75" customHeight="1">
      <c r="A51" s="30" t="s">
        <v>63</v>
      </c>
      <c r="B51" s="30"/>
      <c r="C51" s="30"/>
      <c r="D51" s="30"/>
      <c r="E51" s="30"/>
      <c r="F51" s="30"/>
      <c r="G51" s="30"/>
      <c r="H51" s="30"/>
      <c r="I51" s="30"/>
      <c r="J51" s="158">
        <v>187826.18900000001</v>
      </c>
      <c r="K51" s="30"/>
      <c r="L51" s="30"/>
      <c r="M51" s="30">
        <v>208147.08100000001</v>
      </c>
      <c r="N51" s="30"/>
      <c r="O51" s="30">
        <v>210690.29500000001</v>
      </c>
      <c r="P51" s="30"/>
      <c r="Q51" s="30"/>
      <c r="R51" s="40">
        <v>273369.95400000003</v>
      </c>
      <c r="S51" s="30">
        <v>282407.65299999999</v>
      </c>
      <c r="T51" s="68">
        <v>345938.82699999999</v>
      </c>
      <c r="U51" s="30">
        <v>387340.34499999997</v>
      </c>
      <c r="V51" s="30">
        <v>384280.35800000001</v>
      </c>
      <c r="W51" s="158">
        <v>396961.44400000002</v>
      </c>
      <c r="X51" s="158">
        <v>446258.53399999999</v>
      </c>
      <c r="Y51" s="158">
        <v>477827.01699999999</v>
      </c>
      <c r="Z51" s="158">
        <v>495109.05800000002</v>
      </c>
      <c r="AA51" s="158">
        <v>600775.92700000003</v>
      </c>
      <c r="AB51" s="158">
        <v>557432.527</v>
      </c>
      <c r="AC51" s="158">
        <v>640852</v>
      </c>
      <c r="AD51" s="30">
        <v>691102.90700000001</v>
      </c>
      <c r="AE51" s="30">
        <v>757016.31</v>
      </c>
      <c r="AF51" s="30">
        <v>423881.50300000003</v>
      </c>
      <c r="AG51" s="30">
        <v>744122.18599999999</v>
      </c>
      <c r="AH51" s="30">
        <v>827260.31900000002</v>
      </c>
      <c r="AI51" s="30">
        <v>778712.27599999995</v>
      </c>
      <c r="AJ51" s="30"/>
      <c r="AK51" s="30">
        <v>823893.37699999998</v>
      </c>
    </row>
    <row r="52" spans="1:37" ht="12.75" customHeight="1">
      <c r="A52" s="6" t="s">
        <v>64</v>
      </c>
      <c r="J52" s="58">
        <f>SUM(J54:J62)</f>
        <v>538146.4659999999</v>
      </c>
      <c r="M52" s="58">
        <f>SUM(M54:M62)</f>
        <v>621328.58199999994</v>
      </c>
      <c r="O52" s="58">
        <f>SUM(O54:O62)</f>
        <v>823649.42599999998</v>
      </c>
      <c r="R52" s="58">
        <f t="shared" ref="R52:AK52" si="16">SUM(R54:R62)</f>
        <v>1045214.3609999999</v>
      </c>
      <c r="S52" s="58">
        <f t="shared" si="16"/>
        <v>1028640.706</v>
      </c>
      <c r="T52" s="67">
        <f t="shared" si="16"/>
        <v>1187525.4749999999</v>
      </c>
      <c r="U52" s="58">
        <f t="shared" si="16"/>
        <v>940071.3330000001</v>
      </c>
      <c r="V52" s="58">
        <f t="shared" si="16"/>
        <v>1170155.7600000002</v>
      </c>
      <c r="W52" s="58">
        <f t="shared" si="16"/>
        <v>2141501.4870000002</v>
      </c>
      <c r="X52" s="58">
        <f t="shared" si="16"/>
        <v>1290432.0920000002</v>
      </c>
      <c r="Y52" s="58">
        <f t="shared" si="16"/>
        <v>1380666.48</v>
      </c>
      <c r="Z52" s="58">
        <f t="shared" si="16"/>
        <v>1219246.1000000001</v>
      </c>
      <c r="AA52" s="58">
        <f t="shared" si="16"/>
        <v>663858.53500000003</v>
      </c>
      <c r="AB52" s="58">
        <f t="shared" si="16"/>
        <v>1399419.348</v>
      </c>
      <c r="AC52" s="58">
        <f t="shared" si="16"/>
        <v>1565959</v>
      </c>
      <c r="AD52" s="58">
        <f t="shared" si="16"/>
        <v>1322242.7949999999</v>
      </c>
      <c r="AE52" s="58">
        <f>SUM(AE54:AE62)</f>
        <v>1242925.8370000003</v>
      </c>
      <c r="AF52" s="58">
        <f>SUM(AF54:AF62)</f>
        <v>1405457.8809999998</v>
      </c>
      <c r="AG52" s="58">
        <f t="shared" si="16"/>
        <v>1488716.0560000001</v>
      </c>
      <c r="AH52" s="58">
        <f t="shared" si="16"/>
        <v>1761593.2820000001</v>
      </c>
      <c r="AI52" s="58">
        <f t="shared" si="16"/>
        <v>1831916.3060000001</v>
      </c>
      <c r="AJ52" s="58">
        <f t="shared" si="16"/>
        <v>0</v>
      </c>
      <c r="AK52" s="58">
        <f t="shared" si="16"/>
        <v>1789399.4800000002</v>
      </c>
    </row>
    <row r="53" spans="1:37" ht="12.75" customHeight="1">
      <c r="A53" s="6" t="s">
        <v>94</v>
      </c>
      <c r="T53" s="51"/>
      <c r="AA53" s="10">
        <v>0</v>
      </c>
      <c r="AD53" s="1">
        <v>0</v>
      </c>
      <c r="AE53" s="1">
        <v>0</v>
      </c>
      <c r="AF53" s="1">
        <v>0</v>
      </c>
      <c r="AH53" s="1">
        <v>0</v>
      </c>
      <c r="AI53" s="1">
        <v>0</v>
      </c>
    </row>
    <row r="54" spans="1:37" ht="12.75" customHeight="1">
      <c r="A54" s="1" t="s">
        <v>65</v>
      </c>
      <c r="J54" s="157">
        <v>25929.901999999998</v>
      </c>
      <c r="M54" s="1">
        <v>41477.453999999998</v>
      </c>
      <c r="O54" s="1">
        <v>55157.106</v>
      </c>
      <c r="R54" s="20">
        <v>53925.103999999999</v>
      </c>
      <c r="S54" s="1">
        <v>56765.701999999997</v>
      </c>
      <c r="T54" s="51">
        <v>376650.07199999999</v>
      </c>
      <c r="U54" s="1">
        <v>263810.74900000001</v>
      </c>
      <c r="V54" s="1">
        <v>419570.728</v>
      </c>
      <c r="W54" s="157">
        <v>625223.652</v>
      </c>
      <c r="X54" s="157">
        <v>440266.924</v>
      </c>
      <c r="Y54" s="157">
        <v>343057.34600000002</v>
      </c>
      <c r="Z54" s="157">
        <v>346912.46299999999</v>
      </c>
      <c r="AA54" s="157">
        <v>164709.948</v>
      </c>
      <c r="AB54" s="157">
        <v>113114.16099999999</v>
      </c>
      <c r="AC54" s="157">
        <v>148411</v>
      </c>
      <c r="AD54" s="1">
        <v>148643.53099999999</v>
      </c>
      <c r="AE54" s="1">
        <v>137724.24600000001</v>
      </c>
      <c r="AF54" s="1">
        <v>148389.11199999999</v>
      </c>
      <c r="AG54" s="1">
        <v>198771.72399999999</v>
      </c>
      <c r="AH54" s="1">
        <v>203453.23699999999</v>
      </c>
      <c r="AI54" s="1">
        <v>196872.579</v>
      </c>
      <c r="AK54" s="1">
        <v>263857.96799999999</v>
      </c>
    </row>
    <row r="55" spans="1:37" ht="12.75" customHeight="1">
      <c r="A55" s="1" t="s">
        <v>66</v>
      </c>
      <c r="J55" s="157">
        <v>21155.172999999999</v>
      </c>
      <c r="M55" s="1">
        <v>29839.569</v>
      </c>
      <c r="O55" s="1">
        <v>33690.326999999997</v>
      </c>
      <c r="R55" s="20">
        <v>37808.033000000003</v>
      </c>
      <c r="S55" s="1">
        <v>39615.317000000003</v>
      </c>
      <c r="T55" s="51">
        <v>42799.148000000001</v>
      </c>
      <c r="U55" s="1">
        <v>49759.144999999997</v>
      </c>
      <c r="V55" s="1">
        <v>49531.743999999999</v>
      </c>
      <c r="W55" s="157">
        <v>47849.752999999997</v>
      </c>
      <c r="X55" s="157">
        <v>43804.690999999999</v>
      </c>
      <c r="Y55" s="157">
        <v>49626.124000000003</v>
      </c>
      <c r="Z55" s="157">
        <v>48078.936000000002</v>
      </c>
      <c r="AA55" s="157">
        <v>52806.067000000003</v>
      </c>
      <c r="AB55" s="157">
        <v>49239.285000000003</v>
      </c>
      <c r="AC55" s="157">
        <v>50743</v>
      </c>
      <c r="AD55" s="1">
        <v>54675.343000000001</v>
      </c>
      <c r="AE55" s="1">
        <v>52488.656000000003</v>
      </c>
      <c r="AF55" s="1">
        <v>19998.885999999999</v>
      </c>
      <c r="AG55" s="1">
        <v>54741.741000000002</v>
      </c>
      <c r="AH55" s="1">
        <v>55609.315000000002</v>
      </c>
      <c r="AI55" s="1">
        <v>54817.624000000003</v>
      </c>
      <c r="AK55" s="1">
        <v>56513.946000000004</v>
      </c>
    </row>
    <row r="56" spans="1:37" ht="12.75" customHeight="1">
      <c r="A56" s="1" t="s">
        <v>67</v>
      </c>
      <c r="J56" s="157">
        <v>120941.758</v>
      </c>
      <c r="M56" s="1">
        <v>47098.673999999999</v>
      </c>
      <c r="O56" s="1">
        <v>89182.119000000006</v>
      </c>
      <c r="R56" s="20">
        <v>180038.05900000001</v>
      </c>
      <c r="S56" s="1">
        <v>155006.87899999999</v>
      </c>
      <c r="T56" s="51">
        <v>191728.696</v>
      </c>
      <c r="U56" s="1">
        <v>216905.698</v>
      </c>
      <c r="V56" s="1">
        <v>270574.33799999999</v>
      </c>
      <c r="W56" s="157">
        <v>486178.86200000002</v>
      </c>
      <c r="X56" s="157">
        <v>426867.94500000001</v>
      </c>
      <c r="Y56" s="157">
        <v>479337.00799999997</v>
      </c>
      <c r="Z56" s="157">
        <v>427488.72200000001</v>
      </c>
      <c r="AA56" s="157">
        <v>71838.563999999998</v>
      </c>
      <c r="AB56" s="157">
        <v>667734.50100000005</v>
      </c>
      <c r="AC56" s="157">
        <v>621273</v>
      </c>
      <c r="AD56" s="1">
        <v>507705.30099999998</v>
      </c>
      <c r="AE56" s="1">
        <v>584285.97600000002</v>
      </c>
      <c r="AF56" s="1">
        <v>553990.55000000005</v>
      </c>
      <c r="AG56" s="1">
        <v>495583.61300000001</v>
      </c>
      <c r="AH56" s="1">
        <v>628251.16200000001</v>
      </c>
      <c r="AI56" s="1">
        <v>579356.951</v>
      </c>
      <c r="AK56" s="1">
        <v>466301.70799999998</v>
      </c>
    </row>
    <row r="57" spans="1:37" ht="12.75" customHeight="1">
      <c r="A57" s="1" t="s">
        <v>68</v>
      </c>
      <c r="J57" s="157">
        <v>15233.832</v>
      </c>
      <c r="M57" s="1">
        <v>16084.019</v>
      </c>
      <c r="O57" s="1">
        <v>21070.358</v>
      </c>
      <c r="R57" s="27">
        <v>19901.75</v>
      </c>
      <c r="S57" s="1">
        <v>20036.218000000001</v>
      </c>
      <c r="T57" s="51">
        <v>31669.530999999999</v>
      </c>
      <c r="U57" s="1">
        <v>27604.998</v>
      </c>
      <c r="V57" s="1">
        <v>29201.11</v>
      </c>
      <c r="W57" s="157">
        <v>33712.652999999998</v>
      </c>
      <c r="X57" s="157">
        <v>35042.012000000002</v>
      </c>
      <c r="Y57" s="157">
        <v>34467.603000000003</v>
      </c>
      <c r="Z57" s="157">
        <v>29283.522000000001</v>
      </c>
      <c r="AA57" s="157">
        <v>26385.210999999999</v>
      </c>
      <c r="AB57" s="157">
        <v>32047.334999999999</v>
      </c>
      <c r="AC57" s="157">
        <v>42997</v>
      </c>
      <c r="AD57" s="1">
        <v>58343.767999999996</v>
      </c>
      <c r="AE57" s="1">
        <v>53805.989000000001</v>
      </c>
      <c r="AF57" s="1">
        <v>54179.017</v>
      </c>
      <c r="AG57" s="1">
        <v>53066.637999999999</v>
      </c>
      <c r="AH57" s="1">
        <v>53045.247000000003</v>
      </c>
      <c r="AI57" s="1">
        <v>49044.078999999998</v>
      </c>
      <c r="AK57" s="1">
        <v>27171.764999999999</v>
      </c>
    </row>
    <row r="58" spans="1:37" ht="12.75" customHeight="1">
      <c r="A58" s="1" t="s">
        <v>69</v>
      </c>
      <c r="J58" s="157">
        <v>79717.114000000001</v>
      </c>
      <c r="M58" s="1">
        <v>127241.323</v>
      </c>
      <c r="O58" s="1">
        <v>208013.32800000001</v>
      </c>
      <c r="R58" s="27">
        <v>191773.63200000001</v>
      </c>
      <c r="S58" s="1">
        <v>207928.587</v>
      </c>
      <c r="T58" s="51">
        <v>184900.89499999999</v>
      </c>
      <c r="U58" s="1">
        <v>246744.69500000001</v>
      </c>
      <c r="V58" s="1">
        <v>202424.92600000001</v>
      </c>
      <c r="W58" s="157">
        <v>216237.258</v>
      </c>
      <c r="X58" s="157">
        <v>153728.81899999999</v>
      </c>
      <c r="Y58" s="157">
        <v>214336.11199999999</v>
      </c>
      <c r="Z58" s="157">
        <v>190916.98199999999</v>
      </c>
      <c r="AA58" s="157">
        <v>154480.58499999999</v>
      </c>
      <c r="AB58" s="157">
        <v>261593.587</v>
      </c>
      <c r="AC58" s="157">
        <v>291467</v>
      </c>
      <c r="AD58" s="1">
        <v>193308.592</v>
      </c>
      <c r="AE58" s="1">
        <v>157624.78400000001</v>
      </c>
      <c r="AF58" s="1">
        <v>266542.19199999998</v>
      </c>
      <c r="AG58" s="1">
        <v>266585.98200000002</v>
      </c>
      <c r="AH58" s="1">
        <v>300250.25400000002</v>
      </c>
      <c r="AI58" s="1">
        <v>271785.049</v>
      </c>
      <c r="AK58" s="1">
        <v>509123.12900000002</v>
      </c>
    </row>
    <row r="59" spans="1:37" ht="12.75" customHeight="1">
      <c r="A59" s="1" t="s">
        <v>70</v>
      </c>
      <c r="J59" s="157">
        <v>73418.434999999998</v>
      </c>
      <c r="M59" s="1">
        <v>112438.3</v>
      </c>
      <c r="O59" s="1">
        <v>145999.08300000001</v>
      </c>
      <c r="R59" s="27">
        <v>147286.73300000001</v>
      </c>
      <c r="S59" s="1">
        <v>164604.91800000001</v>
      </c>
      <c r="T59" s="51">
        <v>152281.486</v>
      </c>
      <c r="U59" s="1">
        <v>80128.748000000007</v>
      </c>
      <c r="V59" s="1">
        <v>143570.41399999999</v>
      </c>
      <c r="W59" s="157">
        <v>670713.13500000001</v>
      </c>
      <c r="X59" s="157">
        <v>121677.22100000001</v>
      </c>
      <c r="Y59" s="157">
        <v>189626.36</v>
      </c>
      <c r="Z59" s="157">
        <v>110454.245</v>
      </c>
      <c r="AA59" s="157">
        <v>129680.133</v>
      </c>
      <c r="AB59" s="157">
        <v>143982.42499999999</v>
      </c>
      <c r="AC59" s="157">
        <v>304310</v>
      </c>
      <c r="AD59" s="1">
        <v>271548.72700000001</v>
      </c>
      <c r="AE59" s="1">
        <v>180571.87</v>
      </c>
      <c r="AF59" s="1">
        <v>323362.56199999998</v>
      </c>
      <c r="AG59" s="1">
        <v>334871.67499999999</v>
      </c>
      <c r="AH59" s="1">
        <v>415603.58199999999</v>
      </c>
      <c r="AI59" s="1">
        <v>562423.28799999994</v>
      </c>
      <c r="AK59" s="1">
        <v>356061.18</v>
      </c>
    </row>
    <row r="60" spans="1:37" ht="12.75" customHeight="1">
      <c r="A60" s="1" t="s">
        <v>71</v>
      </c>
      <c r="J60" s="157">
        <v>161557.851</v>
      </c>
      <c r="M60" s="1">
        <v>198602.81</v>
      </c>
      <c r="O60" s="1">
        <v>219230.03200000001</v>
      </c>
      <c r="R60" s="20">
        <v>352843.18699999998</v>
      </c>
      <c r="S60" s="1">
        <v>317448.36300000001</v>
      </c>
      <c r="T60" s="51">
        <v>168444.43599999999</v>
      </c>
      <c r="U60" s="1">
        <v>29896.543000000001</v>
      </c>
      <c r="V60" s="1">
        <v>31087.536</v>
      </c>
      <c r="W60" s="157">
        <v>35695.627</v>
      </c>
      <c r="X60" s="157">
        <v>38025.519</v>
      </c>
      <c r="Y60" s="157">
        <v>45612.654000000002</v>
      </c>
      <c r="Z60" s="157">
        <v>41728.326999999997</v>
      </c>
      <c r="AA60" s="157">
        <v>45812.315999999999</v>
      </c>
      <c r="AB60" s="157">
        <v>105392.71799999999</v>
      </c>
      <c r="AC60" s="157">
        <v>80223</v>
      </c>
      <c r="AD60" s="1">
        <v>57559.972000000002</v>
      </c>
      <c r="AE60" s="1">
        <v>45917.631000000001</v>
      </c>
      <c r="AF60" s="1">
        <v>20558.628000000001</v>
      </c>
      <c r="AG60" s="1">
        <v>53639.76</v>
      </c>
      <c r="AH60" s="1">
        <v>57573.843999999997</v>
      </c>
      <c r="AI60" s="1">
        <v>71311.993000000002</v>
      </c>
      <c r="AK60" s="1">
        <v>69038.354000000007</v>
      </c>
    </row>
    <row r="61" spans="1:37" ht="12.75" customHeight="1">
      <c r="A61" s="1" t="s">
        <v>72</v>
      </c>
      <c r="J61" s="157">
        <v>10358.891</v>
      </c>
      <c r="M61" s="1">
        <v>12377.331</v>
      </c>
      <c r="O61" s="1">
        <v>13184.357</v>
      </c>
      <c r="R61" s="20">
        <v>18717.376</v>
      </c>
      <c r="S61" s="1">
        <v>19332.071</v>
      </c>
      <c r="T61" s="51">
        <v>15251.892</v>
      </c>
      <c r="U61" s="1">
        <v>2757.9169999999999</v>
      </c>
      <c r="V61" s="1">
        <v>2768.759</v>
      </c>
      <c r="W61" s="157">
        <v>3992.549</v>
      </c>
      <c r="X61" s="157">
        <v>3178.29</v>
      </c>
      <c r="Y61" s="157">
        <v>3046.038</v>
      </c>
      <c r="Z61" s="157">
        <v>0</v>
      </c>
      <c r="AA61" s="157">
        <v>0</v>
      </c>
      <c r="AB61" s="157">
        <v>3626.2840000000001</v>
      </c>
      <c r="AC61" s="157">
        <v>3642</v>
      </c>
      <c r="AD61" s="1">
        <v>6850.0709999999999</v>
      </c>
      <c r="AE61" s="1">
        <v>7222.433</v>
      </c>
      <c r="AF61" s="1">
        <v>780.85599999999999</v>
      </c>
      <c r="AG61" s="1">
        <v>3621.7849999999999</v>
      </c>
      <c r="AH61" s="1">
        <v>3673.6779999999999</v>
      </c>
      <c r="AI61" s="1">
        <v>4404.3029999999999</v>
      </c>
      <c r="AK61" s="1">
        <v>3732.1849999999999</v>
      </c>
    </row>
    <row r="62" spans="1:37" ht="12.75" customHeight="1">
      <c r="A62" s="30" t="s">
        <v>73</v>
      </c>
      <c r="B62" s="30"/>
      <c r="C62" s="30"/>
      <c r="D62" s="30"/>
      <c r="E62" s="30"/>
      <c r="F62" s="30"/>
      <c r="G62" s="30"/>
      <c r="H62" s="30"/>
      <c r="I62" s="30"/>
      <c r="J62" s="158">
        <v>29833.51</v>
      </c>
      <c r="K62" s="30"/>
      <c r="L62" s="30"/>
      <c r="M62" s="30">
        <v>36169.101999999999</v>
      </c>
      <c r="N62" s="30"/>
      <c r="O62" s="30">
        <v>38122.716</v>
      </c>
      <c r="P62" s="30"/>
      <c r="Q62" s="30"/>
      <c r="R62" s="40">
        <v>42920.487000000001</v>
      </c>
      <c r="S62" s="30">
        <v>47902.650999999998</v>
      </c>
      <c r="T62" s="68">
        <v>23799.319</v>
      </c>
      <c r="U62" s="30">
        <v>22462.84</v>
      </c>
      <c r="V62" s="30">
        <v>21426.205000000002</v>
      </c>
      <c r="W62" s="158">
        <v>21897.998</v>
      </c>
      <c r="X62" s="158">
        <v>27840.670999999998</v>
      </c>
      <c r="Y62" s="158">
        <v>21557.235000000001</v>
      </c>
      <c r="Z62" s="158">
        <v>24382.902999999998</v>
      </c>
      <c r="AA62" s="158">
        <v>18145.710999999999</v>
      </c>
      <c r="AB62" s="158">
        <v>22689.052</v>
      </c>
      <c r="AC62" s="158">
        <v>22893</v>
      </c>
      <c r="AD62" s="30">
        <v>23607.49</v>
      </c>
      <c r="AE62" s="30">
        <v>23284.252</v>
      </c>
      <c r="AF62" s="30">
        <v>17656.078000000001</v>
      </c>
      <c r="AG62" s="30">
        <v>27833.137999999999</v>
      </c>
      <c r="AH62" s="30">
        <v>44132.963000000003</v>
      </c>
      <c r="AI62" s="30">
        <v>41900.44</v>
      </c>
      <c r="AJ62" s="30"/>
      <c r="AK62" s="30">
        <v>37599.245000000003</v>
      </c>
    </row>
    <row r="63" spans="1:37">
      <c r="A63" s="56" t="s">
        <v>74</v>
      </c>
      <c r="B63" s="53"/>
      <c r="C63" s="53"/>
      <c r="D63" s="53"/>
      <c r="E63" s="53"/>
      <c r="F63" s="53"/>
      <c r="G63" s="53"/>
      <c r="H63" s="53"/>
      <c r="I63" s="53"/>
      <c r="J63" s="159">
        <v>25316.806</v>
      </c>
      <c r="K63" s="53"/>
      <c r="L63" s="53"/>
      <c r="M63" s="53">
        <v>6976.08</v>
      </c>
      <c r="N63" s="53"/>
      <c r="O63" s="53">
        <v>8241.0909599999995</v>
      </c>
      <c r="P63" s="53"/>
      <c r="Q63" s="53"/>
      <c r="R63" s="54">
        <v>1784.354</v>
      </c>
      <c r="S63" s="53">
        <v>0</v>
      </c>
      <c r="T63" s="55">
        <v>2474.4140000000002</v>
      </c>
      <c r="U63" s="53">
        <v>3073.3449999999998</v>
      </c>
      <c r="V63" s="53">
        <v>1568.9480000000001</v>
      </c>
      <c r="W63" s="159">
        <v>3444.2269999999999</v>
      </c>
      <c r="X63" s="159">
        <v>3182.3870000000002</v>
      </c>
      <c r="Y63" s="159">
        <v>2492.0639999999999</v>
      </c>
      <c r="Z63" s="159">
        <v>1655.241</v>
      </c>
      <c r="AA63" s="159">
        <v>2366.15</v>
      </c>
      <c r="AB63" s="159">
        <v>4696.259</v>
      </c>
      <c r="AC63" s="159">
        <v>26068</v>
      </c>
      <c r="AD63" s="30">
        <v>3260.48</v>
      </c>
      <c r="AE63" s="30">
        <v>3089.54</v>
      </c>
      <c r="AF63" s="30">
        <v>3901.2489999999998</v>
      </c>
      <c r="AG63" s="30">
        <v>3653.41</v>
      </c>
      <c r="AH63" s="30">
        <v>2487.4560000000001</v>
      </c>
      <c r="AI63" s="30">
        <v>3013.9250000000002</v>
      </c>
      <c r="AJ63" s="30"/>
      <c r="AK63" s="30">
        <v>2342.3679999999999</v>
      </c>
    </row>
    <row r="64" spans="1:37" ht="12.75" customHeight="1"/>
    <row r="65" spans="2:29" ht="12.75" customHeight="1"/>
    <row r="66" spans="2:29" ht="12.75" customHeight="1">
      <c r="B66" s="1" t="s">
        <v>95</v>
      </c>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B68" s="1" t="s">
        <v>158</v>
      </c>
      <c r="W68" s="1"/>
      <c r="X68" s="1"/>
      <c r="Y68" s="1"/>
      <c r="Z68" s="1"/>
      <c r="AA68" s="1"/>
      <c r="AB68" s="1"/>
      <c r="AC68" s="1"/>
    </row>
    <row r="69" spans="2:29" ht="12.75" customHeight="1">
      <c r="B69" s="1" t="s">
        <v>159</v>
      </c>
      <c r="M69" s="41"/>
      <c r="N69" s="41"/>
    </row>
    <row r="70" spans="2:29" ht="12.75" customHeight="1">
      <c r="B70" s="1" t="s">
        <v>160</v>
      </c>
    </row>
    <row r="71" spans="2:29" ht="12.75" customHeight="1">
      <c r="B71" s="1" t="s">
        <v>140</v>
      </c>
    </row>
    <row r="72" spans="2:29" ht="12.75" customHeight="1"/>
    <row r="73" spans="2:29" ht="12.75" customHeight="1">
      <c r="B73" s="1" t="s">
        <v>161</v>
      </c>
    </row>
    <row r="74" spans="2:29" ht="12.75" customHeight="1">
      <c r="B74" s="1" t="s">
        <v>162</v>
      </c>
    </row>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8"/>
  </sheetPr>
  <dimension ref="A1:HB92"/>
  <sheetViews>
    <sheetView zoomScaleNormal="100" workbookViewId="0">
      <pane xSplit="1" ySplit="3" topLeftCell="S40" activePane="bottomRight" state="frozen"/>
      <selection pane="topRight" activeCell="O44" sqref="O44"/>
      <selection pane="bottomLeft" activeCell="O44" sqref="O44"/>
      <selection pane="bottomRight" activeCell="AK7" sqref="AK7:AK22"/>
    </sheetView>
  </sheetViews>
  <sheetFormatPr defaultColWidth="9.7109375" defaultRowHeight="12.75"/>
  <cols>
    <col min="1" max="1" width="19.5703125" style="1" bestFit="1" customWidth="1"/>
    <col min="2" max="22" width="9.42578125" style="1" customWidth="1"/>
    <col min="23" max="26" width="9.42578125" style="10" customWidth="1"/>
    <col min="27" max="29" width="11.140625" style="10" customWidth="1"/>
    <col min="30" max="30" width="10" style="1" customWidth="1"/>
    <col min="31" max="31" width="10.140625" style="1" bestFit="1" customWidth="1"/>
    <col min="32" max="37" width="10.1406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8">
      <c r="A1" s="39" t="s">
        <v>92</v>
      </c>
      <c r="B1" s="11"/>
      <c r="C1" s="11"/>
      <c r="D1" s="11"/>
      <c r="E1" s="11"/>
      <c r="F1" s="11"/>
      <c r="G1" s="11"/>
      <c r="H1" s="11"/>
      <c r="I1" s="11"/>
      <c r="J1" s="11"/>
      <c r="K1" s="11"/>
      <c r="L1" s="11"/>
      <c r="AL1" s="1">
        <v>1000</v>
      </c>
    </row>
    <row r="2" spans="1:38">
      <c r="A2" s="1" t="s">
        <v>96</v>
      </c>
      <c r="B2" s="11"/>
      <c r="C2" s="11"/>
      <c r="D2" s="11"/>
      <c r="E2" s="11"/>
      <c r="F2" s="11"/>
      <c r="G2" s="11"/>
      <c r="H2" s="11"/>
      <c r="I2" s="11"/>
      <c r="J2" s="11"/>
      <c r="K2" s="11"/>
      <c r="L2" s="11"/>
    </row>
    <row r="3" spans="1:38">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8" ht="12.75" customHeight="1">
      <c r="A4" s="53" t="s">
        <v>19</v>
      </c>
      <c r="B4" s="1">
        <v>1704279</v>
      </c>
      <c r="C4" s="1">
        <v>1798157</v>
      </c>
      <c r="D4" s="1">
        <f>1899460</f>
        <v>1899460</v>
      </c>
      <c r="I4" s="1">
        <v>3069172.551</v>
      </c>
      <c r="J4" s="59">
        <f>+J5+J23+J38+J52+J63</f>
        <v>3511605.7539999997</v>
      </c>
      <c r="K4" s="42">
        <f>(($M$4-$J$4)/3)+J4</f>
        <v>3785253.0166666661</v>
      </c>
      <c r="L4" s="42">
        <f>(($M$4-$J$4)/3)+K4</f>
        <v>4058900.2793333326</v>
      </c>
      <c r="M4" s="59">
        <f>+M5+M23+M38+M52+M63</f>
        <v>4332547.5419999994</v>
      </c>
      <c r="N4" s="42">
        <f>((O4-M4)/2)+M4</f>
        <v>5541654.4493049998</v>
      </c>
      <c r="O4" s="59">
        <f>+O5+O23+O38+O52+O63</f>
        <v>6750761.3566099992</v>
      </c>
      <c r="R4" s="59">
        <f t="shared" ref="R4:AA4" si="0">+R5+R23+R38+R52+R63</f>
        <v>5523118.6300000008</v>
      </c>
      <c r="S4" s="59">
        <f t="shared" si="0"/>
        <v>5999199.3580000009</v>
      </c>
      <c r="T4" s="59">
        <f t="shared" si="0"/>
        <v>6568888.8560000006</v>
      </c>
      <c r="U4" s="59">
        <f t="shared" si="0"/>
        <v>5605125.9580000006</v>
      </c>
      <c r="V4" s="59">
        <f t="shared" si="0"/>
        <v>6044889.8020000001</v>
      </c>
      <c r="W4" s="59">
        <f t="shared" si="0"/>
        <v>9318622.2700000014</v>
      </c>
      <c r="X4" s="59">
        <f t="shared" si="0"/>
        <v>7133964.4670000011</v>
      </c>
      <c r="Y4" s="59">
        <f t="shared" si="0"/>
        <v>7552877.9219999993</v>
      </c>
      <c r="Z4" s="59">
        <f t="shared" si="0"/>
        <v>7991584.0490000006</v>
      </c>
      <c r="AA4" s="59">
        <f t="shared" si="0"/>
        <v>12639865.216</v>
      </c>
      <c r="AB4" s="59">
        <f t="shared" ref="AB4:AC4" si="1">+AB5+AB23+AB38+AB52+AB63</f>
        <v>15243575.821999999</v>
      </c>
      <c r="AC4" s="59">
        <f t="shared" si="1"/>
        <v>16732550</v>
      </c>
      <c r="AD4" s="59">
        <f t="shared" ref="AD4:AE4" si="2">+AD5+AD23+AD38+AD52+AD63</f>
        <v>17462848.242000002</v>
      </c>
      <c r="AE4" s="59">
        <f t="shared" si="2"/>
        <v>17784639.445</v>
      </c>
      <c r="AF4" s="59">
        <f t="shared" ref="AF4" si="3">+AF5+AF23+AF38+AF52+AF63</f>
        <v>15543195.908</v>
      </c>
      <c r="AG4" s="59">
        <f t="shared" ref="AG4:AI4" si="4">+AG5+AG23+AG38+AG52+AG63</f>
        <v>15452138.969000001</v>
      </c>
      <c r="AH4" s="59">
        <f t="shared" si="4"/>
        <v>17441525.085000001</v>
      </c>
      <c r="AI4" s="59">
        <f t="shared" si="4"/>
        <v>17103148.068999998</v>
      </c>
      <c r="AJ4" s="59">
        <f t="shared" ref="AJ4:AK4" si="5">+AJ5+AJ23+AJ38+AJ52+AJ63</f>
        <v>0</v>
      </c>
      <c r="AK4" s="59">
        <f t="shared" si="5"/>
        <v>23590815.959999997</v>
      </c>
    </row>
    <row r="5" spans="1:38" ht="12.75" customHeight="1">
      <c r="A5" s="1" t="s">
        <v>20</v>
      </c>
      <c r="B5" s="58">
        <f>SUM(B7:B22)</f>
        <v>451398</v>
      </c>
      <c r="C5" s="58">
        <f t="shared" ref="C5:AA5" si="6">SUM(C7:C22)</f>
        <v>465548</v>
      </c>
      <c r="D5" s="58">
        <f t="shared" si="6"/>
        <v>508482</v>
      </c>
      <c r="E5" s="58">
        <f t="shared" si="6"/>
        <v>0</v>
      </c>
      <c r="F5" s="58">
        <f t="shared" si="6"/>
        <v>0</v>
      </c>
      <c r="G5" s="58">
        <f t="shared" si="6"/>
        <v>0</v>
      </c>
      <c r="H5" s="58">
        <f t="shared" si="6"/>
        <v>0</v>
      </c>
      <c r="I5" s="58">
        <f t="shared" si="6"/>
        <v>926713.22600000002</v>
      </c>
      <c r="J5" s="58">
        <f t="shared" si="6"/>
        <v>1094832.1089999999</v>
      </c>
      <c r="K5" s="58">
        <f t="shared" si="6"/>
        <v>1243408.6599999999</v>
      </c>
      <c r="L5" s="58">
        <f t="shared" si="6"/>
        <v>1329142.3759999997</v>
      </c>
      <c r="M5" s="58">
        <f t="shared" si="6"/>
        <v>1360521.6410000001</v>
      </c>
      <c r="N5" s="58">
        <f t="shared" si="6"/>
        <v>1454655.3020000001</v>
      </c>
      <c r="O5" s="58">
        <f t="shared" si="6"/>
        <v>2202295.8439799999</v>
      </c>
      <c r="P5" s="58">
        <f t="shared" si="6"/>
        <v>0</v>
      </c>
      <c r="Q5" s="58">
        <f t="shared" si="6"/>
        <v>0</v>
      </c>
      <c r="R5" s="58">
        <f t="shared" si="6"/>
        <v>1912923.4569999999</v>
      </c>
      <c r="S5" s="58">
        <f t="shared" si="6"/>
        <v>2113599.3590000002</v>
      </c>
      <c r="T5" s="58">
        <f t="shared" si="6"/>
        <v>2298200.9539999999</v>
      </c>
      <c r="U5" s="58">
        <f t="shared" si="6"/>
        <v>1753370.2060000002</v>
      </c>
      <c r="V5" s="58">
        <f t="shared" si="6"/>
        <v>1951727.362</v>
      </c>
      <c r="W5" s="58">
        <f t="shared" si="6"/>
        <v>3131358.9560000002</v>
      </c>
      <c r="X5" s="58">
        <f t="shared" si="6"/>
        <v>2297973.3970000003</v>
      </c>
      <c r="Y5" s="58">
        <f t="shared" si="6"/>
        <v>2523626.2779999999</v>
      </c>
      <c r="Z5" s="58">
        <f t="shared" si="6"/>
        <v>2705549.1520000002</v>
      </c>
      <c r="AA5" s="58">
        <f t="shared" si="6"/>
        <v>4355332.7290000003</v>
      </c>
      <c r="AB5" s="58">
        <f t="shared" ref="AB5:AC5" si="7">SUM(AB7:AB22)</f>
        <v>5538285.7629999993</v>
      </c>
      <c r="AC5" s="58">
        <f t="shared" si="7"/>
        <v>6157572</v>
      </c>
      <c r="AD5" s="58">
        <f t="shared" ref="AD5:AE5" si="8">SUM(AD7:AD22)</f>
        <v>6475409.4020000016</v>
      </c>
      <c r="AE5" s="58">
        <f t="shared" si="8"/>
        <v>6407821.7170000011</v>
      </c>
      <c r="AF5" s="58">
        <f t="shared" ref="AF5" si="9">SUM(AF7:AF22)</f>
        <v>6132835.7460000003</v>
      </c>
      <c r="AG5" s="58">
        <f t="shared" ref="AG5:AI5" si="10">SUM(AG7:AG22)</f>
        <v>6105319.568</v>
      </c>
      <c r="AH5" s="58">
        <f t="shared" si="10"/>
        <v>6525161.0610000007</v>
      </c>
      <c r="AI5" s="58">
        <f t="shared" si="10"/>
        <v>6204960.6119999988</v>
      </c>
      <c r="AJ5" s="58">
        <f t="shared" ref="AJ5:AK5" si="11">SUM(AJ7:AJ22)</f>
        <v>0</v>
      </c>
      <c r="AK5" s="58">
        <f t="shared" si="11"/>
        <v>8711624.1599999983</v>
      </c>
    </row>
    <row r="6" spans="1:38" ht="12.75" customHeight="1">
      <c r="A6" s="6" t="s">
        <v>94</v>
      </c>
      <c r="J6" s="157"/>
      <c r="R6" s="20"/>
      <c r="T6" s="51"/>
    </row>
    <row r="7" spans="1:38" ht="12.75" customHeight="1">
      <c r="A7" s="1" t="s">
        <v>21</v>
      </c>
      <c r="B7" s="1">
        <v>19704</v>
      </c>
      <c r="C7" s="1">
        <v>23706</v>
      </c>
      <c r="D7" s="1">
        <v>24463</v>
      </c>
      <c r="I7" s="1">
        <v>53571.053</v>
      </c>
      <c r="J7" s="157">
        <v>69805.737999999998</v>
      </c>
      <c r="K7" s="1">
        <v>78521.048999999999</v>
      </c>
      <c r="L7" s="1">
        <v>81761.813999999998</v>
      </c>
      <c r="M7" s="1">
        <v>82493.269</v>
      </c>
      <c r="N7" s="1">
        <v>87259.194000000003</v>
      </c>
      <c r="O7" s="1">
        <v>139299.07366999998</v>
      </c>
      <c r="R7" s="27">
        <v>99186.142999999996</v>
      </c>
      <c r="S7" s="1">
        <v>105599.72100000001</v>
      </c>
      <c r="T7" s="51">
        <v>143759.905</v>
      </c>
      <c r="U7" s="1">
        <v>91630.985000000001</v>
      </c>
      <c r="V7" s="1">
        <v>99707.804000000004</v>
      </c>
      <c r="W7" s="157">
        <v>182575.87</v>
      </c>
      <c r="X7" s="157">
        <v>106270.55499999999</v>
      </c>
      <c r="Y7" s="157">
        <v>110400.649</v>
      </c>
      <c r="Z7" s="157">
        <v>112301.476</v>
      </c>
      <c r="AA7" s="157">
        <v>196351.326</v>
      </c>
      <c r="AB7" s="157">
        <v>264790.11</v>
      </c>
      <c r="AC7" s="157">
        <v>290151</v>
      </c>
      <c r="AD7" s="1">
        <v>301525.00599999999</v>
      </c>
      <c r="AE7" s="1">
        <v>289694.14199999999</v>
      </c>
      <c r="AF7" s="1">
        <v>272666.15700000001</v>
      </c>
      <c r="AG7" s="1">
        <v>267289.033</v>
      </c>
      <c r="AH7" s="1">
        <v>275599.239</v>
      </c>
      <c r="AI7" s="1">
        <v>257084.361</v>
      </c>
      <c r="AK7" s="1">
        <v>361185.60100000002</v>
      </c>
    </row>
    <row r="8" spans="1:38" ht="12.75" customHeight="1">
      <c r="A8" s="1" t="s">
        <v>22</v>
      </c>
      <c r="B8" s="1">
        <v>6156</v>
      </c>
      <c r="C8" s="1">
        <v>6266</v>
      </c>
      <c r="D8" s="1">
        <v>6225</v>
      </c>
      <c r="I8" s="1">
        <v>11524.312</v>
      </c>
      <c r="J8" s="157">
        <v>14034.737999999999</v>
      </c>
      <c r="K8" s="1">
        <v>16573.150000000001</v>
      </c>
      <c r="L8" s="1">
        <v>17655.913</v>
      </c>
      <c r="M8" s="1">
        <v>18768.491000000002</v>
      </c>
      <c r="N8" s="1">
        <v>26759.842000000001</v>
      </c>
      <c r="O8" s="1">
        <v>38483.17</v>
      </c>
      <c r="R8" s="27">
        <v>34064.915999999997</v>
      </c>
      <c r="S8" s="1">
        <v>38542.07</v>
      </c>
      <c r="T8" s="51">
        <v>44094.317000000003</v>
      </c>
      <c r="U8" s="1">
        <v>33326.258000000002</v>
      </c>
      <c r="V8" s="1">
        <v>36620.749000000003</v>
      </c>
      <c r="W8" s="157">
        <v>68845.797999999995</v>
      </c>
      <c r="X8" s="157">
        <v>44811.025000000001</v>
      </c>
      <c r="Y8" s="157">
        <v>60215.108999999997</v>
      </c>
      <c r="Z8" s="157">
        <v>67001.739000000001</v>
      </c>
      <c r="AA8" s="157">
        <v>105372.364</v>
      </c>
      <c r="AB8" s="157">
        <v>123720.326</v>
      </c>
      <c r="AC8" s="157">
        <v>137821</v>
      </c>
      <c r="AD8" s="1">
        <v>140650.011</v>
      </c>
      <c r="AE8" s="1">
        <v>143222.91899999999</v>
      </c>
      <c r="AF8" s="1">
        <v>149769.93799999999</v>
      </c>
      <c r="AG8" s="1">
        <v>139651.24799999999</v>
      </c>
      <c r="AH8" s="1">
        <v>137164.019</v>
      </c>
      <c r="AI8" s="1">
        <v>136445.005</v>
      </c>
      <c r="AK8" s="1">
        <v>185422.587</v>
      </c>
    </row>
    <row r="9" spans="1:38" ht="12.75" customHeight="1">
      <c r="A9" s="1" t="s">
        <v>23</v>
      </c>
      <c r="D9" s="1">
        <v>2181</v>
      </c>
      <c r="I9" s="1">
        <v>8086.2969999999996</v>
      </c>
      <c r="J9" s="157">
        <v>11169.09</v>
      </c>
      <c r="M9" s="1">
        <v>12644.134</v>
      </c>
      <c r="N9" s="1">
        <v>12592.562</v>
      </c>
      <c r="O9" s="1">
        <v>16491.178</v>
      </c>
      <c r="R9" s="27">
        <v>16375.53</v>
      </c>
      <c r="S9" s="38">
        <v>17572.510999999999</v>
      </c>
      <c r="T9" s="52">
        <v>19535.419999999998</v>
      </c>
      <c r="U9" s="38">
        <v>23371.187000000002</v>
      </c>
      <c r="V9" s="38">
        <v>23935.157999999999</v>
      </c>
      <c r="W9" s="157">
        <v>27031.728999999999</v>
      </c>
      <c r="X9" s="157">
        <v>28892.429</v>
      </c>
      <c r="Y9" s="157">
        <v>30021.281999999999</v>
      </c>
      <c r="Z9" s="157">
        <v>33738.457999999999</v>
      </c>
      <c r="AA9" s="157">
        <v>44746.040999999997</v>
      </c>
      <c r="AB9" s="157">
        <v>56222.739000000001</v>
      </c>
      <c r="AC9" s="157">
        <v>60509</v>
      </c>
      <c r="AD9" s="1">
        <v>62594.705000000002</v>
      </c>
      <c r="AE9" s="1">
        <v>62707.7</v>
      </c>
      <c r="AF9" s="1">
        <v>61783.991999999998</v>
      </c>
      <c r="AG9" s="1">
        <v>66182.835000000006</v>
      </c>
      <c r="AH9" s="1">
        <v>65117.749000000003</v>
      </c>
      <c r="AI9" s="1">
        <v>66891.365999999995</v>
      </c>
      <c r="AK9" s="1">
        <v>76158.006999999998</v>
      </c>
    </row>
    <row r="10" spans="1:38" ht="12.75" customHeight="1">
      <c r="A10" s="1" t="s">
        <v>24</v>
      </c>
      <c r="B10" s="1">
        <v>103425</v>
      </c>
      <c r="C10" s="1">
        <v>105098</v>
      </c>
      <c r="D10" s="1">
        <v>109949</v>
      </c>
      <c r="I10" s="1">
        <v>191992.65700000001</v>
      </c>
      <c r="J10" s="157">
        <v>236458.715</v>
      </c>
      <c r="K10" s="1">
        <v>259500.48300000001</v>
      </c>
      <c r="L10" s="1">
        <v>272330.11300000001</v>
      </c>
      <c r="M10" s="1">
        <v>280412.35100000002</v>
      </c>
      <c r="N10" s="1">
        <v>278638.65100000001</v>
      </c>
      <c r="O10" s="1">
        <v>413757.48200000002</v>
      </c>
      <c r="R10" s="27">
        <v>351197.52899999998</v>
      </c>
      <c r="S10" s="1">
        <v>428831.60600000003</v>
      </c>
      <c r="T10" s="51">
        <v>410739.386</v>
      </c>
      <c r="U10" s="1">
        <v>250656.66099999999</v>
      </c>
      <c r="V10" s="1">
        <v>273986.47499999998</v>
      </c>
      <c r="W10" s="157">
        <v>409296.61</v>
      </c>
      <c r="X10" s="157">
        <v>313119.10200000001</v>
      </c>
      <c r="Y10" s="157">
        <v>367760.00099999999</v>
      </c>
      <c r="Z10" s="157">
        <v>382702.92800000001</v>
      </c>
      <c r="AA10" s="157">
        <v>802451.86399999994</v>
      </c>
      <c r="AB10" s="157">
        <v>970812.66700000002</v>
      </c>
      <c r="AC10" s="157">
        <v>1062058</v>
      </c>
      <c r="AD10" s="1">
        <v>1116949.686</v>
      </c>
      <c r="AE10" s="1">
        <v>1090198.1869999999</v>
      </c>
      <c r="AF10" s="1">
        <v>1073761.8030000001</v>
      </c>
      <c r="AG10" s="1">
        <v>1067554.439</v>
      </c>
      <c r="AH10" s="1">
        <v>1164344.169</v>
      </c>
      <c r="AI10" s="1">
        <v>1039790.7830000001</v>
      </c>
      <c r="AK10" s="1">
        <v>1637175.297</v>
      </c>
    </row>
    <row r="11" spans="1:38" ht="12.75" customHeight="1">
      <c r="A11" s="1" t="s">
        <v>25</v>
      </c>
      <c r="B11" s="1">
        <v>21081</v>
      </c>
      <c r="C11" s="1">
        <v>22007</v>
      </c>
      <c r="D11" s="1">
        <v>23080</v>
      </c>
      <c r="I11" s="1">
        <v>52361.245000000003</v>
      </c>
      <c r="J11" s="157">
        <v>60150.311999999998</v>
      </c>
      <c r="K11" s="1">
        <v>72466.706999999995</v>
      </c>
      <c r="L11" s="1">
        <v>79711.323999999993</v>
      </c>
      <c r="M11" s="1">
        <v>83785.682000000001</v>
      </c>
      <c r="N11" s="1">
        <v>76399.361999999994</v>
      </c>
      <c r="O11" s="1">
        <v>107175.03069</v>
      </c>
      <c r="R11" s="27">
        <v>123054.912</v>
      </c>
      <c r="S11" s="1">
        <v>142280.122</v>
      </c>
      <c r="T11" s="51">
        <v>182934.274</v>
      </c>
      <c r="U11" s="1">
        <v>150043.59700000001</v>
      </c>
      <c r="V11" s="1">
        <v>168743.72500000001</v>
      </c>
      <c r="W11" s="157">
        <v>211938.258</v>
      </c>
      <c r="X11" s="157">
        <v>198586.42499999999</v>
      </c>
      <c r="Y11" s="157">
        <v>190515.64</v>
      </c>
      <c r="Z11" s="157">
        <v>207724.538</v>
      </c>
      <c r="AA11" s="157">
        <v>181865.17199999999</v>
      </c>
      <c r="AB11" s="157">
        <v>444410.39799999999</v>
      </c>
      <c r="AC11" s="157">
        <v>496531</v>
      </c>
      <c r="AD11" s="1">
        <v>495200.565</v>
      </c>
      <c r="AE11" s="1">
        <v>429084.67700000003</v>
      </c>
      <c r="AF11" s="1">
        <v>214353.766</v>
      </c>
      <c r="AG11" s="1">
        <v>220976.90700000001</v>
      </c>
      <c r="AH11" s="1">
        <v>442975.88099999999</v>
      </c>
      <c r="AI11" s="1">
        <v>193593.40599999999</v>
      </c>
      <c r="AK11" s="1">
        <v>237326.37899999999</v>
      </c>
    </row>
    <row r="12" spans="1:38" ht="12.75" customHeight="1">
      <c r="A12" s="1" t="s">
        <v>26</v>
      </c>
      <c r="B12" s="1">
        <v>9140</v>
      </c>
      <c r="C12" s="1">
        <v>9780</v>
      </c>
      <c r="D12" s="1">
        <v>10505</v>
      </c>
      <c r="I12" s="1">
        <v>23670.166000000001</v>
      </c>
      <c r="J12" s="157">
        <v>28581.531999999999</v>
      </c>
      <c r="K12" s="1">
        <v>30455.523000000001</v>
      </c>
      <c r="L12" s="1">
        <v>35254.294000000002</v>
      </c>
      <c r="M12" s="1">
        <v>37050.718999999997</v>
      </c>
      <c r="N12" s="1">
        <v>37145.711000000003</v>
      </c>
      <c r="O12" s="1">
        <v>65410.008000000002</v>
      </c>
      <c r="R12" s="20">
        <v>70350.354000000007</v>
      </c>
      <c r="S12" s="1">
        <v>66705.114000000001</v>
      </c>
      <c r="T12" s="51">
        <v>12939.459000000001</v>
      </c>
      <c r="U12" s="1">
        <v>8540.2739999999994</v>
      </c>
      <c r="V12" s="1">
        <v>9885.8670000000002</v>
      </c>
      <c r="W12" s="157">
        <v>133154.56200000001</v>
      </c>
      <c r="X12" s="157">
        <v>71764.188999999998</v>
      </c>
      <c r="Y12" s="157">
        <v>84972.577000000005</v>
      </c>
      <c r="Z12" s="157">
        <v>91628.093999999997</v>
      </c>
      <c r="AA12" s="157">
        <v>170802.851</v>
      </c>
      <c r="AB12" s="157">
        <v>222392.84400000001</v>
      </c>
      <c r="AC12" s="157">
        <v>244906</v>
      </c>
      <c r="AD12" s="1">
        <v>242384.068</v>
      </c>
      <c r="AE12" s="1">
        <v>238020.06400000001</v>
      </c>
      <c r="AF12" s="1">
        <v>213076.568</v>
      </c>
      <c r="AG12" s="1">
        <v>205168.177</v>
      </c>
      <c r="AH12" s="1">
        <v>216242.40700000001</v>
      </c>
      <c r="AI12" s="1">
        <v>197212.12899999999</v>
      </c>
      <c r="AK12" s="1">
        <v>272498.64899999998</v>
      </c>
    </row>
    <row r="13" spans="1:38" ht="12.75" customHeight="1">
      <c r="A13" s="1" t="s">
        <v>27</v>
      </c>
      <c r="B13" s="1">
        <v>5732</v>
      </c>
      <c r="C13" s="1">
        <v>6131</v>
      </c>
      <c r="D13" s="1">
        <v>7219</v>
      </c>
      <c r="I13" s="1">
        <v>18089.472000000002</v>
      </c>
      <c r="J13" s="157">
        <v>21397.758999999998</v>
      </c>
      <c r="K13" s="1">
        <v>23602.652999999998</v>
      </c>
      <c r="L13" s="1">
        <v>25962.043000000001</v>
      </c>
      <c r="M13" s="1">
        <v>26131.919999999998</v>
      </c>
      <c r="N13" s="1">
        <v>38548.442000000003</v>
      </c>
      <c r="O13" s="1">
        <v>56873.512980000007</v>
      </c>
      <c r="R13" s="20">
        <v>36009.243999999999</v>
      </c>
      <c r="S13" s="1">
        <v>41840.47</v>
      </c>
      <c r="T13" s="51">
        <v>52112.639999999999</v>
      </c>
      <c r="U13" s="1">
        <v>36602.913999999997</v>
      </c>
      <c r="V13" s="1">
        <v>45761.061999999998</v>
      </c>
      <c r="W13" s="157">
        <v>91900.097999999998</v>
      </c>
      <c r="X13" s="157">
        <v>38686.014000000003</v>
      </c>
      <c r="Y13" s="157">
        <v>57276.417000000001</v>
      </c>
      <c r="Z13" s="157">
        <v>65315.275000000001</v>
      </c>
      <c r="AA13" s="157">
        <v>89967.354000000007</v>
      </c>
      <c r="AB13" s="157">
        <v>125961.52</v>
      </c>
      <c r="AC13" s="157">
        <v>157606</v>
      </c>
      <c r="AD13" s="1">
        <v>176293.04199999999</v>
      </c>
      <c r="AE13" s="1">
        <v>179395.33600000001</v>
      </c>
      <c r="AF13" s="1">
        <v>164378.739</v>
      </c>
      <c r="AG13" s="1">
        <v>176613.68900000001</v>
      </c>
      <c r="AH13" s="1">
        <v>232986.18299999999</v>
      </c>
      <c r="AI13" s="1">
        <v>177637.04500000001</v>
      </c>
      <c r="AK13" s="1">
        <v>249279.022</v>
      </c>
    </row>
    <row r="14" spans="1:38" ht="12.75" customHeight="1">
      <c r="A14" s="1" t="s">
        <v>28</v>
      </c>
      <c r="B14" s="1">
        <v>56467</v>
      </c>
      <c r="C14" s="1">
        <v>57299</v>
      </c>
      <c r="D14" s="1">
        <v>58413</v>
      </c>
      <c r="I14" s="1">
        <v>97111.354000000007</v>
      </c>
      <c r="J14" s="157">
        <v>93224.395000000004</v>
      </c>
      <c r="K14" s="1">
        <v>130734.895</v>
      </c>
      <c r="L14" s="1">
        <v>137112.01699999999</v>
      </c>
      <c r="M14" s="1">
        <v>113758.068</v>
      </c>
      <c r="N14" s="1">
        <v>147748.989</v>
      </c>
      <c r="O14" s="1">
        <v>186955.18799999999</v>
      </c>
      <c r="R14" s="20">
        <v>189505.63</v>
      </c>
      <c r="S14" s="1">
        <v>197619.71100000001</v>
      </c>
      <c r="T14" s="51">
        <v>208048.20199999999</v>
      </c>
      <c r="U14" s="1">
        <v>190191.701</v>
      </c>
      <c r="V14" s="1">
        <v>209462.823</v>
      </c>
      <c r="W14" s="157">
        <v>281788.26199999999</v>
      </c>
      <c r="X14" s="157">
        <v>241697.008</v>
      </c>
      <c r="Y14" s="157">
        <v>256871.106</v>
      </c>
      <c r="Z14" s="157">
        <v>265207.49800000002</v>
      </c>
      <c r="AA14" s="157">
        <v>353592.43800000002</v>
      </c>
      <c r="AB14" s="157">
        <v>406520.22600000002</v>
      </c>
      <c r="AC14" s="157">
        <v>442066</v>
      </c>
      <c r="AD14" s="1">
        <v>457011.05099999998</v>
      </c>
      <c r="AE14" s="1">
        <v>460106.49599999998</v>
      </c>
      <c r="AF14" s="1">
        <v>454832.72899999999</v>
      </c>
      <c r="AG14" s="1">
        <v>450728.462</v>
      </c>
      <c r="AH14" s="1">
        <v>441658.96600000001</v>
      </c>
      <c r="AI14" s="1">
        <v>439517.94900000002</v>
      </c>
      <c r="AK14" s="1">
        <v>498813.761</v>
      </c>
    </row>
    <row r="15" spans="1:38" ht="12.75" customHeight="1">
      <c r="A15" s="1" t="s">
        <v>29</v>
      </c>
      <c r="B15" s="1">
        <v>20394</v>
      </c>
      <c r="C15" s="1">
        <v>20780</v>
      </c>
      <c r="D15" s="1">
        <v>21383</v>
      </c>
      <c r="I15" s="1">
        <v>37873.696000000004</v>
      </c>
      <c r="J15" s="157">
        <v>43816.425999999999</v>
      </c>
      <c r="K15" s="1">
        <v>49338.101999999999</v>
      </c>
      <c r="L15" s="1">
        <v>49228.4</v>
      </c>
      <c r="M15" s="1">
        <v>49918.356</v>
      </c>
      <c r="N15" s="1">
        <v>50752.277000000002</v>
      </c>
      <c r="O15" s="1">
        <v>93253.566999999995</v>
      </c>
      <c r="R15" s="20">
        <v>60811.716999999997</v>
      </c>
      <c r="S15" s="1">
        <v>66455.98</v>
      </c>
      <c r="T15" s="51">
        <v>84066.65</v>
      </c>
      <c r="U15" s="1">
        <v>66662.357000000004</v>
      </c>
      <c r="V15" s="1">
        <v>49200.868000000002</v>
      </c>
      <c r="W15" s="157">
        <v>108361.227</v>
      </c>
      <c r="X15" s="157">
        <v>64556.24</v>
      </c>
      <c r="Y15" s="157">
        <v>70219.858999999997</v>
      </c>
      <c r="Z15" s="157">
        <v>72277.811000000002</v>
      </c>
      <c r="AA15" s="157">
        <v>132580.27600000001</v>
      </c>
      <c r="AB15" s="157">
        <v>155712.274</v>
      </c>
      <c r="AC15" s="157">
        <v>177256</v>
      </c>
      <c r="AD15" s="1">
        <v>174772.93799999999</v>
      </c>
      <c r="AE15" s="1">
        <v>165647.93</v>
      </c>
      <c r="AF15" s="1">
        <v>187113.84700000001</v>
      </c>
      <c r="AG15" s="1">
        <v>196147.32199999999</v>
      </c>
      <c r="AH15" s="1">
        <v>200760.79399999999</v>
      </c>
      <c r="AI15" s="1">
        <v>206871.215</v>
      </c>
      <c r="AK15" s="1">
        <v>351897.11800000002</v>
      </c>
    </row>
    <row r="16" spans="1:38" ht="12.75" customHeight="1">
      <c r="A16" s="1" t="s">
        <v>30</v>
      </c>
      <c r="B16" s="1">
        <v>19213</v>
      </c>
      <c r="C16" s="1">
        <v>18525</v>
      </c>
      <c r="D16" s="1">
        <v>19693</v>
      </c>
      <c r="I16" s="1">
        <v>43577.216999999997</v>
      </c>
      <c r="J16" s="157">
        <v>64783.707999999999</v>
      </c>
      <c r="K16" s="1">
        <v>72909.763000000006</v>
      </c>
      <c r="L16" s="1">
        <v>73652.046000000002</v>
      </c>
      <c r="M16" s="1">
        <v>74470.138999999996</v>
      </c>
      <c r="N16" s="1">
        <v>75322.975000000006</v>
      </c>
      <c r="O16" s="1">
        <v>122266.75818999999</v>
      </c>
      <c r="R16" s="20">
        <v>134971.16099999999</v>
      </c>
      <c r="S16" s="1">
        <v>145758.76</v>
      </c>
      <c r="T16" s="1">
        <v>145574.144</v>
      </c>
      <c r="U16" s="1">
        <v>131610.44699999999</v>
      </c>
      <c r="V16" s="1">
        <v>133059.93900000001</v>
      </c>
      <c r="W16" s="157">
        <v>193991.09700000001</v>
      </c>
      <c r="X16" s="157">
        <v>144188.908</v>
      </c>
      <c r="Y16" s="157">
        <v>147709.08199999999</v>
      </c>
      <c r="Z16" s="157">
        <v>157515.69</v>
      </c>
      <c r="AA16" s="157">
        <v>242470.579</v>
      </c>
      <c r="AB16" s="157">
        <v>326681.245</v>
      </c>
      <c r="AC16" s="157">
        <v>376958</v>
      </c>
      <c r="AD16" s="1">
        <v>415350.14199999999</v>
      </c>
      <c r="AE16" s="1">
        <v>424545.88199999998</v>
      </c>
      <c r="AF16" s="1">
        <v>418610.342</v>
      </c>
      <c r="AG16" s="1">
        <v>405235.19500000001</v>
      </c>
      <c r="AH16" s="1">
        <v>395691.81400000001</v>
      </c>
      <c r="AI16" s="1">
        <v>394941.902</v>
      </c>
      <c r="AK16" s="1">
        <v>637549.06499999994</v>
      </c>
    </row>
    <row r="17" spans="1:37" ht="12.75" customHeight="1">
      <c r="A17" s="1" t="s">
        <v>31</v>
      </c>
      <c r="B17" s="1">
        <v>11245</v>
      </c>
      <c r="C17" s="1">
        <v>11921</v>
      </c>
      <c r="D17" s="1">
        <v>12169</v>
      </c>
      <c r="I17" s="1">
        <v>28226.473000000002</v>
      </c>
      <c r="J17" s="157">
        <v>33815.892</v>
      </c>
      <c r="K17" s="1">
        <v>33567.339</v>
      </c>
      <c r="L17" s="1">
        <v>36588.175999999999</v>
      </c>
      <c r="M17" s="1">
        <v>36848.103000000003</v>
      </c>
      <c r="N17" s="1">
        <v>38093.519999999997</v>
      </c>
      <c r="O17" s="1">
        <v>67964.548330000005</v>
      </c>
      <c r="R17" s="20">
        <v>46833.887999999999</v>
      </c>
      <c r="S17" s="1">
        <v>52051.356</v>
      </c>
      <c r="T17" s="1">
        <v>59832.747000000003</v>
      </c>
      <c r="U17" s="1">
        <v>43340.180999999997</v>
      </c>
      <c r="V17" s="1">
        <v>45502.302000000003</v>
      </c>
      <c r="W17" s="157">
        <v>84061.046000000002</v>
      </c>
      <c r="X17" s="157">
        <v>56835.86</v>
      </c>
      <c r="Y17" s="157">
        <v>56139.531000000003</v>
      </c>
      <c r="Z17" s="157">
        <v>67866.217000000004</v>
      </c>
      <c r="AA17" s="157">
        <v>127890.55100000001</v>
      </c>
      <c r="AB17" s="157">
        <v>143700.647</v>
      </c>
      <c r="AC17" s="157">
        <v>157802</v>
      </c>
      <c r="AD17" s="1">
        <v>162773.97</v>
      </c>
      <c r="AE17" s="1">
        <v>162558.01999999999</v>
      </c>
      <c r="AF17" s="1">
        <v>149351.34700000001</v>
      </c>
      <c r="AG17" s="1">
        <v>154361.63</v>
      </c>
      <c r="AH17" s="1">
        <v>166053.47899999999</v>
      </c>
      <c r="AI17" s="1">
        <v>176105.03899999999</v>
      </c>
      <c r="AK17" s="1">
        <v>257099.549</v>
      </c>
    </row>
    <row r="18" spans="1:37" ht="12.75" customHeight="1">
      <c r="A18" s="1" t="s">
        <v>32</v>
      </c>
      <c r="B18" s="1">
        <v>22425</v>
      </c>
      <c r="C18" s="1">
        <v>22421</v>
      </c>
      <c r="D18" s="1">
        <v>23752</v>
      </c>
      <c r="I18" s="1">
        <v>42350.235999999997</v>
      </c>
      <c r="J18" s="157">
        <v>51431.567000000003</v>
      </c>
      <c r="K18" s="1">
        <v>55916.612000000001</v>
      </c>
      <c r="L18" s="1">
        <v>61267.714999999997</v>
      </c>
      <c r="M18" s="1">
        <v>63131.442000000003</v>
      </c>
      <c r="N18" s="1">
        <v>67209.994000000006</v>
      </c>
      <c r="O18" s="1">
        <v>100836.77899999999</v>
      </c>
      <c r="R18" s="20">
        <v>92108.251000000004</v>
      </c>
      <c r="S18" s="1">
        <v>100424.01700000001</v>
      </c>
      <c r="T18" s="1">
        <v>136387.76999999999</v>
      </c>
      <c r="U18" s="1">
        <v>93884.743000000002</v>
      </c>
      <c r="V18" s="1">
        <v>109974.001</v>
      </c>
      <c r="W18" s="157">
        <v>225398.59</v>
      </c>
      <c r="X18" s="157">
        <v>136195.68799999999</v>
      </c>
      <c r="Y18" s="157">
        <v>150282.894</v>
      </c>
      <c r="Z18" s="157">
        <v>173024.89199999999</v>
      </c>
      <c r="AA18" s="157">
        <v>309050.25400000002</v>
      </c>
      <c r="AB18" s="157">
        <v>361440.99599999998</v>
      </c>
      <c r="AC18" s="157">
        <v>383019</v>
      </c>
      <c r="AD18" s="1">
        <v>393094.80800000002</v>
      </c>
      <c r="AE18" s="1">
        <v>393077.55099999998</v>
      </c>
      <c r="AF18" s="1">
        <v>396261.69900000002</v>
      </c>
      <c r="AG18" s="1">
        <v>392238.761</v>
      </c>
      <c r="AH18" s="1">
        <v>386827.63</v>
      </c>
      <c r="AI18" s="1">
        <v>383622.77299999999</v>
      </c>
      <c r="AK18" s="1">
        <v>490718.68199999997</v>
      </c>
    </row>
    <row r="19" spans="1:37" ht="12.75" customHeight="1">
      <c r="A19" s="1" t="s">
        <v>33</v>
      </c>
      <c r="B19" s="1">
        <v>18163</v>
      </c>
      <c r="C19" s="1">
        <v>18217</v>
      </c>
      <c r="D19" s="1">
        <v>18774</v>
      </c>
      <c r="I19" s="1">
        <v>44029.284</v>
      </c>
      <c r="J19" s="157">
        <v>51734.252</v>
      </c>
      <c r="K19" s="1">
        <v>56575.27</v>
      </c>
      <c r="L19" s="1">
        <v>58425.457000000002</v>
      </c>
      <c r="M19" s="1">
        <v>60098.461000000003</v>
      </c>
      <c r="N19" s="1">
        <v>61943.849000000002</v>
      </c>
      <c r="O19" s="1">
        <v>96474.486999999994</v>
      </c>
      <c r="R19" s="27">
        <v>83441.400999999998</v>
      </c>
      <c r="S19" s="1">
        <v>90997.865999999995</v>
      </c>
      <c r="T19" s="1">
        <v>106093.11599999999</v>
      </c>
      <c r="U19" s="1">
        <v>78255.63</v>
      </c>
      <c r="V19" s="1">
        <v>94586.888999999996</v>
      </c>
      <c r="W19" s="157">
        <v>147615.37</v>
      </c>
      <c r="X19" s="157">
        <v>104225.554</v>
      </c>
      <c r="Y19" s="157">
        <v>109980.435</v>
      </c>
      <c r="Z19" s="157">
        <v>119155.243</v>
      </c>
      <c r="AA19" s="157">
        <v>205588.995</v>
      </c>
      <c r="AB19" s="157">
        <v>249058.851</v>
      </c>
      <c r="AC19" s="157">
        <v>275176</v>
      </c>
      <c r="AD19" s="1">
        <v>290441.35499999998</v>
      </c>
      <c r="AE19" s="1">
        <v>288952.03100000002</v>
      </c>
      <c r="AF19" s="1">
        <v>282002.75599999999</v>
      </c>
      <c r="AG19" s="1">
        <v>284827.59499999997</v>
      </c>
      <c r="AH19" s="1">
        <v>288643.48499999999</v>
      </c>
      <c r="AI19" s="1">
        <v>287835.826</v>
      </c>
      <c r="AK19" s="1">
        <v>416419.18900000001</v>
      </c>
    </row>
    <row r="20" spans="1:37" ht="12.75" customHeight="1">
      <c r="A20" s="1" t="s">
        <v>34</v>
      </c>
      <c r="B20" s="1">
        <v>92813</v>
      </c>
      <c r="C20" s="1">
        <v>97581</v>
      </c>
      <c r="D20" s="1">
        <v>119471</v>
      </c>
      <c r="I20" s="1">
        <v>192973.08199999999</v>
      </c>
      <c r="J20" s="157">
        <v>217640.95800000001</v>
      </c>
      <c r="K20" s="1">
        <v>251123.234</v>
      </c>
      <c r="L20" s="1">
        <v>278611.88299999997</v>
      </c>
      <c r="M20" s="1">
        <v>296249.77299999999</v>
      </c>
      <c r="N20" s="1">
        <v>327447.658</v>
      </c>
      <c r="O20" s="1">
        <v>526009.68500000006</v>
      </c>
      <c r="R20" s="20">
        <v>439194.57500000001</v>
      </c>
      <c r="S20" s="1">
        <v>480199.71299999999</v>
      </c>
      <c r="T20" s="1">
        <v>538757.73300000001</v>
      </c>
      <c r="U20" s="1">
        <v>411656.02899999998</v>
      </c>
      <c r="V20" s="1">
        <v>481885.766</v>
      </c>
      <c r="W20" s="157">
        <v>727626.96200000006</v>
      </c>
      <c r="X20" s="157">
        <v>543016.96200000006</v>
      </c>
      <c r="Y20" s="157">
        <v>600705.42799999996</v>
      </c>
      <c r="Z20" s="157">
        <v>634685.14800000004</v>
      </c>
      <c r="AA20" s="157">
        <v>1022248.243</v>
      </c>
      <c r="AB20" s="157">
        <v>1207452.9439999999</v>
      </c>
      <c r="AC20" s="157">
        <v>1346824</v>
      </c>
      <c r="AD20" s="1">
        <v>1441250.1710000001</v>
      </c>
      <c r="AE20" s="1">
        <v>1471969.0930000001</v>
      </c>
      <c r="AF20" s="1">
        <v>1477142.024</v>
      </c>
      <c r="AG20" s="1">
        <v>1476284.1170000001</v>
      </c>
      <c r="AH20" s="1">
        <v>1509544.487</v>
      </c>
      <c r="AI20" s="1">
        <v>1645696.1710000001</v>
      </c>
      <c r="AK20" s="1">
        <v>2349366.0729999999</v>
      </c>
    </row>
    <row r="21" spans="1:37" ht="12.75" customHeight="1">
      <c r="A21" s="1" t="s">
        <v>35</v>
      </c>
      <c r="B21" s="1">
        <v>42021</v>
      </c>
      <c r="C21" s="1">
        <v>42607</v>
      </c>
      <c r="D21" s="1">
        <v>47569</v>
      </c>
      <c r="I21" s="1">
        <v>75533.274000000005</v>
      </c>
      <c r="J21" s="157">
        <v>90154.18</v>
      </c>
      <c r="K21" s="1">
        <v>105507.9</v>
      </c>
      <c r="L21" s="1">
        <v>114323.889</v>
      </c>
      <c r="M21" s="1">
        <v>116846.217</v>
      </c>
      <c r="N21" s="1">
        <v>120798.74</v>
      </c>
      <c r="O21" s="1">
        <v>159447.76199999999</v>
      </c>
      <c r="R21" s="20">
        <v>128626.018</v>
      </c>
      <c r="S21" s="1">
        <v>130544.666</v>
      </c>
      <c r="T21" s="1">
        <v>145303.04800000001</v>
      </c>
      <c r="U21" s="1">
        <v>138723.97200000001</v>
      </c>
      <c r="V21" s="1">
        <v>166097.492</v>
      </c>
      <c r="W21" s="157">
        <v>216897.606</v>
      </c>
      <c r="X21" s="157">
        <v>194376.21900000001</v>
      </c>
      <c r="Y21" s="157">
        <v>214418.62</v>
      </c>
      <c r="Z21" s="157">
        <v>237274.753</v>
      </c>
      <c r="AA21" s="157">
        <v>335565.549</v>
      </c>
      <c r="AB21" s="157">
        <v>424937.45500000002</v>
      </c>
      <c r="AC21" s="157">
        <v>488461</v>
      </c>
      <c r="AD21" s="1">
        <v>543038.81299999997</v>
      </c>
      <c r="AE21" s="1">
        <v>543917.353</v>
      </c>
      <c r="AF21" s="1">
        <v>552209.22900000005</v>
      </c>
      <c r="AG21" s="1">
        <v>543002.04599999997</v>
      </c>
      <c r="AH21" s="1">
        <v>542781.64300000004</v>
      </c>
      <c r="AI21" s="1">
        <v>543896.875</v>
      </c>
      <c r="AK21" s="1">
        <v>621942.32999999996</v>
      </c>
    </row>
    <row r="22" spans="1:37" ht="12.75" customHeight="1">
      <c r="A22" s="30" t="s">
        <v>36</v>
      </c>
      <c r="B22" s="30">
        <v>3419</v>
      </c>
      <c r="C22" s="30">
        <v>3209</v>
      </c>
      <c r="D22" s="30">
        <v>3636</v>
      </c>
      <c r="E22" s="30"/>
      <c r="F22" s="30"/>
      <c r="G22" s="30"/>
      <c r="H22" s="30"/>
      <c r="I22" s="30">
        <v>5743.4080000000004</v>
      </c>
      <c r="J22" s="158">
        <v>6632.8469999999998</v>
      </c>
      <c r="K22" s="30">
        <v>6615.98</v>
      </c>
      <c r="L22" s="30">
        <v>7257.2920000000004</v>
      </c>
      <c r="M22" s="30">
        <v>7914.5159999999996</v>
      </c>
      <c r="N22" s="30">
        <v>7993.5360000000001</v>
      </c>
      <c r="O22" s="30">
        <v>11597.61412</v>
      </c>
      <c r="P22" s="30"/>
      <c r="Q22" s="30"/>
      <c r="R22" s="30">
        <v>7192.1880000000001</v>
      </c>
      <c r="S22" s="30">
        <v>8175.6760000000004</v>
      </c>
      <c r="T22" s="30">
        <v>8022.143</v>
      </c>
      <c r="U22" s="30">
        <v>4873.2700000000004</v>
      </c>
      <c r="V22" s="30">
        <v>3316.442</v>
      </c>
      <c r="W22" s="158">
        <v>20875.870999999999</v>
      </c>
      <c r="X22" s="158">
        <v>10751.218999999999</v>
      </c>
      <c r="Y22" s="158">
        <v>16137.647999999999</v>
      </c>
      <c r="Z22" s="158">
        <v>18129.392</v>
      </c>
      <c r="AA22" s="158">
        <v>34788.872000000003</v>
      </c>
      <c r="AB22" s="158">
        <v>54470.521000000001</v>
      </c>
      <c r="AC22" s="158">
        <v>60428</v>
      </c>
      <c r="AD22" s="30">
        <v>62079.071000000004</v>
      </c>
      <c r="AE22" s="30">
        <v>64724.336000000003</v>
      </c>
      <c r="AF22" s="30">
        <v>65520.81</v>
      </c>
      <c r="AG22" s="30">
        <v>59058.112000000001</v>
      </c>
      <c r="AH22" s="30">
        <v>58769.116000000002</v>
      </c>
      <c r="AI22" s="30">
        <v>57818.767</v>
      </c>
      <c r="AJ22" s="30"/>
      <c r="AK22" s="30">
        <v>68772.850999999995</v>
      </c>
    </row>
    <row r="23" spans="1:37" ht="12.75" customHeight="1">
      <c r="A23" s="6" t="s">
        <v>37</v>
      </c>
      <c r="B23" s="58">
        <f>SUM(B25:B37)</f>
        <v>0</v>
      </c>
      <c r="C23" s="58">
        <f t="shared" ref="C23:AK23" si="12">SUM(C25:C37)</f>
        <v>0</v>
      </c>
      <c r="D23" s="58">
        <f t="shared" si="12"/>
        <v>0</v>
      </c>
      <c r="E23" s="58">
        <f t="shared" si="12"/>
        <v>0</v>
      </c>
      <c r="F23" s="58">
        <f t="shared" si="12"/>
        <v>0</v>
      </c>
      <c r="G23" s="58">
        <f t="shared" si="12"/>
        <v>0</v>
      </c>
      <c r="H23" s="58">
        <f t="shared" si="12"/>
        <v>0</v>
      </c>
      <c r="I23" s="58">
        <f t="shared" si="12"/>
        <v>0</v>
      </c>
      <c r="J23" s="58">
        <f t="shared" si="12"/>
        <v>598262.91499999992</v>
      </c>
      <c r="K23" s="58">
        <f t="shared" si="12"/>
        <v>0</v>
      </c>
      <c r="L23" s="58">
        <f t="shared" si="12"/>
        <v>0</v>
      </c>
      <c r="M23" s="58">
        <f t="shared" si="12"/>
        <v>817923.21199999994</v>
      </c>
      <c r="N23" s="58">
        <f t="shared" si="12"/>
        <v>0</v>
      </c>
      <c r="O23" s="58">
        <f t="shared" si="12"/>
        <v>1455164.2268000001</v>
      </c>
      <c r="P23" s="58">
        <f t="shared" si="12"/>
        <v>0</v>
      </c>
      <c r="Q23" s="58">
        <f t="shared" si="12"/>
        <v>0</v>
      </c>
      <c r="R23" s="58">
        <f t="shared" si="12"/>
        <v>1010875.9000000001</v>
      </c>
      <c r="S23" s="58">
        <f t="shared" si="12"/>
        <v>1069496.3180000002</v>
      </c>
      <c r="T23" s="58">
        <f t="shared" si="12"/>
        <v>1183834.1769999999</v>
      </c>
      <c r="U23" s="58">
        <f t="shared" si="12"/>
        <v>1179963.3470000001</v>
      </c>
      <c r="V23" s="58">
        <f t="shared" si="12"/>
        <v>1191992.2509999999</v>
      </c>
      <c r="W23" s="58">
        <f t="shared" si="12"/>
        <v>2001934.2650000004</v>
      </c>
      <c r="X23" s="58">
        <f t="shared" si="12"/>
        <v>1504790.1439999996</v>
      </c>
      <c r="Y23" s="58">
        <f t="shared" si="12"/>
        <v>1516244.0989999997</v>
      </c>
      <c r="Z23" s="58">
        <f t="shared" si="12"/>
        <v>1564973.423</v>
      </c>
      <c r="AA23" s="58">
        <f t="shared" si="12"/>
        <v>2587338.3689999999</v>
      </c>
      <c r="AB23" s="58">
        <f t="shared" si="12"/>
        <v>3101073.2880000002</v>
      </c>
      <c r="AC23" s="58">
        <f t="shared" si="12"/>
        <v>3445475</v>
      </c>
      <c r="AD23" s="58">
        <f t="shared" si="12"/>
        <v>3712644.1660000002</v>
      </c>
      <c r="AE23" s="58">
        <f t="shared" si="12"/>
        <v>3925123.4220000003</v>
      </c>
      <c r="AF23" s="58">
        <f t="shared" si="12"/>
        <v>2796163.0049999999</v>
      </c>
      <c r="AG23" s="58">
        <f t="shared" si="12"/>
        <v>2775745.7089999998</v>
      </c>
      <c r="AH23" s="58">
        <f t="shared" si="12"/>
        <v>3762194.4550000001</v>
      </c>
      <c r="AI23" s="58">
        <f t="shared" si="12"/>
        <v>3800335.6870000004</v>
      </c>
      <c r="AJ23" s="58">
        <f t="shared" si="12"/>
        <v>0</v>
      </c>
      <c r="AK23" s="58">
        <f t="shared" si="12"/>
        <v>6437154.0829999996</v>
      </c>
    </row>
    <row r="24" spans="1:37" ht="12.75" customHeight="1">
      <c r="A24" s="6" t="s">
        <v>94</v>
      </c>
    </row>
    <row r="25" spans="1:37" ht="12.75" customHeight="1">
      <c r="A25" s="1" t="s">
        <v>38</v>
      </c>
      <c r="J25" s="157">
        <v>191.28800000000001</v>
      </c>
      <c r="M25" s="1">
        <v>500.79500000000002</v>
      </c>
      <c r="O25" s="1">
        <v>724.88599999999997</v>
      </c>
      <c r="R25" s="20">
        <v>576.41</v>
      </c>
      <c r="S25" s="1">
        <v>413.75900000000001</v>
      </c>
      <c r="T25" s="1">
        <v>531.30399999999997</v>
      </c>
      <c r="U25" s="1">
        <v>578.96900000000005</v>
      </c>
      <c r="V25" s="1">
        <v>572.40499999999997</v>
      </c>
      <c r="W25" s="157">
        <v>436.221</v>
      </c>
      <c r="X25" s="157">
        <v>931.25699999999995</v>
      </c>
      <c r="Y25" s="157">
        <v>945.62800000000004</v>
      </c>
      <c r="Z25" s="157">
        <v>993.64499999999998</v>
      </c>
      <c r="AA25" s="157">
        <v>1065.4770000000001</v>
      </c>
      <c r="AB25" s="157">
        <v>1275.749</v>
      </c>
      <c r="AC25" s="157">
        <v>950</v>
      </c>
      <c r="AD25" s="1">
        <v>1457.88</v>
      </c>
      <c r="AE25" s="1">
        <v>2992.8470000000002</v>
      </c>
      <c r="AH25" s="1">
        <v>336.25799999999998</v>
      </c>
      <c r="AI25" s="1">
        <v>431.78399999999999</v>
      </c>
      <c r="AK25" s="1">
        <v>868.95799999999997</v>
      </c>
    </row>
    <row r="26" spans="1:37" ht="12.75" customHeight="1">
      <c r="A26" s="1" t="s">
        <v>39</v>
      </c>
      <c r="J26" s="157">
        <v>72520.86</v>
      </c>
      <c r="M26" s="1">
        <v>96151.028999999995</v>
      </c>
      <c r="O26" s="1">
        <v>155576.69537</v>
      </c>
      <c r="R26" s="20">
        <v>132301.87</v>
      </c>
      <c r="S26" s="1">
        <v>141219.38500000001</v>
      </c>
      <c r="T26" s="1">
        <v>144776.53099999999</v>
      </c>
      <c r="U26" s="1">
        <v>124025.37</v>
      </c>
      <c r="V26" s="1">
        <v>142185.74299999999</v>
      </c>
      <c r="W26" s="157">
        <v>210786.432</v>
      </c>
      <c r="X26" s="157">
        <v>173791.23</v>
      </c>
      <c r="Y26" s="157">
        <v>190561.62899999999</v>
      </c>
      <c r="Z26" s="157">
        <v>193933.095</v>
      </c>
      <c r="AA26" s="157">
        <v>284878.56099999999</v>
      </c>
      <c r="AB26" s="157">
        <v>328401.16800000001</v>
      </c>
      <c r="AC26" s="157">
        <v>358035</v>
      </c>
      <c r="AD26" s="1">
        <v>384066.89500000002</v>
      </c>
      <c r="AE26" s="1">
        <v>371633.359</v>
      </c>
      <c r="AF26" s="1">
        <v>71820.216</v>
      </c>
      <c r="AG26" s="1">
        <v>72721.619000000006</v>
      </c>
      <c r="AH26" s="1">
        <v>355806.96500000003</v>
      </c>
      <c r="AI26" s="1">
        <v>349447.26699999999</v>
      </c>
      <c r="AK26" s="1">
        <v>475958.95899999997</v>
      </c>
    </row>
    <row r="27" spans="1:37" ht="12.75" customHeight="1">
      <c r="A27" s="1" t="s">
        <v>40</v>
      </c>
      <c r="J27" s="157">
        <v>209448.46799999999</v>
      </c>
      <c r="M27" s="1">
        <v>288573.63799999998</v>
      </c>
      <c r="O27" s="1">
        <v>638844.08979999996</v>
      </c>
      <c r="R27" s="20">
        <v>277764.78399999999</v>
      </c>
      <c r="S27" s="1">
        <v>273684.30300000001</v>
      </c>
      <c r="T27" s="1">
        <v>307652.06699999998</v>
      </c>
      <c r="U27" s="1">
        <v>320664.386</v>
      </c>
      <c r="V27" s="1">
        <v>354870.77</v>
      </c>
      <c r="W27" s="157">
        <v>823392.68700000003</v>
      </c>
      <c r="X27" s="157">
        <v>563726.86499999999</v>
      </c>
      <c r="Y27" s="157">
        <v>554853.60800000001</v>
      </c>
      <c r="Z27" s="157">
        <v>548891.91899999999</v>
      </c>
      <c r="AA27" s="157">
        <v>962101.38399999996</v>
      </c>
      <c r="AB27" s="157">
        <v>1168872.53</v>
      </c>
      <c r="AC27" s="157">
        <v>1263672</v>
      </c>
      <c r="AD27" s="1">
        <v>1402169.2120000001</v>
      </c>
      <c r="AE27" s="1">
        <v>1604570.753</v>
      </c>
      <c r="AF27" s="1">
        <v>1195440.0719999999</v>
      </c>
      <c r="AG27" s="1">
        <v>1198715.463</v>
      </c>
      <c r="AH27" s="1">
        <v>1642623.9839999999</v>
      </c>
      <c r="AI27" s="1">
        <v>1631973.186</v>
      </c>
      <c r="AK27" s="1">
        <v>3435687.4219999998</v>
      </c>
    </row>
    <row r="28" spans="1:37" ht="12.75" customHeight="1">
      <c r="A28" s="1" t="s">
        <v>41</v>
      </c>
      <c r="J28" s="157">
        <v>60910.754999999997</v>
      </c>
      <c r="M28" s="1">
        <v>84767.127999999997</v>
      </c>
      <c r="O28" s="1">
        <v>116603.17600000001</v>
      </c>
      <c r="R28" s="20">
        <v>106645.242</v>
      </c>
      <c r="S28" s="1">
        <v>112619.484</v>
      </c>
      <c r="T28" s="1">
        <v>121835.62699999999</v>
      </c>
      <c r="U28" s="1">
        <v>96616.137000000002</v>
      </c>
      <c r="V28" s="1">
        <v>107151.17</v>
      </c>
      <c r="W28" s="157">
        <v>148934.10999999999</v>
      </c>
      <c r="X28" s="157">
        <v>178102.70699999999</v>
      </c>
      <c r="Y28" s="157">
        <v>205259.36199999999</v>
      </c>
      <c r="Z28" s="157">
        <v>213665.15900000001</v>
      </c>
      <c r="AA28" s="157">
        <v>284717.19500000001</v>
      </c>
      <c r="AB28" s="157">
        <v>312168.10800000001</v>
      </c>
      <c r="AC28" s="157">
        <v>397858</v>
      </c>
      <c r="AD28" s="1">
        <v>409558.60100000002</v>
      </c>
      <c r="AE28" s="1">
        <v>406409.19199999998</v>
      </c>
      <c r="AF28" s="1">
        <v>169198.576</v>
      </c>
      <c r="AG28" s="1">
        <v>177416.02900000001</v>
      </c>
      <c r="AH28" s="1">
        <v>391900.65100000001</v>
      </c>
      <c r="AI28" s="1">
        <v>400037.35800000001</v>
      </c>
      <c r="AK28" s="1">
        <v>461125.66600000003</v>
      </c>
    </row>
    <row r="29" spans="1:37" ht="12.75" customHeight="1">
      <c r="A29" s="1" t="s">
        <v>42</v>
      </c>
      <c r="J29" s="157">
        <v>11629.431</v>
      </c>
      <c r="M29" s="1">
        <v>13890.831</v>
      </c>
      <c r="O29" s="1">
        <v>27288.663</v>
      </c>
      <c r="R29" s="20">
        <v>32644.512999999999</v>
      </c>
      <c r="S29" s="1">
        <v>34664.580999999998</v>
      </c>
      <c r="T29" s="1">
        <v>34830.803999999996</v>
      </c>
      <c r="U29" s="1">
        <v>30356.476999999999</v>
      </c>
      <c r="V29" s="1">
        <v>28414.168000000001</v>
      </c>
      <c r="W29" s="157">
        <v>30551.517</v>
      </c>
      <c r="X29" s="157">
        <v>29034.822</v>
      </c>
      <c r="Y29" s="157">
        <v>32179.519</v>
      </c>
      <c r="Z29" s="157">
        <v>36130.572999999997</v>
      </c>
      <c r="AA29" s="157">
        <v>47176.959999999999</v>
      </c>
      <c r="AB29" s="157">
        <v>49081.108</v>
      </c>
      <c r="AC29" s="157">
        <v>71859</v>
      </c>
      <c r="AD29" s="1">
        <v>75927.274000000005</v>
      </c>
      <c r="AE29" s="1">
        <v>77122.777000000002</v>
      </c>
      <c r="AF29" s="1">
        <v>78857.998000000007</v>
      </c>
      <c r="AG29" s="1">
        <v>79855.591</v>
      </c>
      <c r="AH29" s="1">
        <v>79415.414999999994</v>
      </c>
      <c r="AI29" s="1">
        <v>78628.081000000006</v>
      </c>
      <c r="AK29" s="1">
        <v>86926.915999999997</v>
      </c>
    </row>
    <row r="30" spans="1:37" ht="12.75" customHeight="1">
      <c r="A30" s="1" t="s">
        <v>43</v>
      </c>
      <c r="J30" s="157">
        <v>5676.6580000000004</v>
      </c>
      <c r="M30" s="1">
        <v>8007.8469999999998</v>
      </c>
      <c r="O30" s="1">
        <v>15350.172</v>
      </c>
      <c r="R30" s="20">
        <v>14320.14</v>
      </c>
      <c r="S30" s="1">
        <v>15310.602000000001</v>
      </c>
      <c r="T30" s="1">
        <v>17164.633999999998</v>
      </c>
      <c r="U30" s="1">
        <v>14789.866</v>
      </c>
      <c r="V30" s="1">
        <v>16066.143</v>
      </c>
      <c r="W30" s="157">
        <v>35289.400999999998</v>
      </c>
      <c r="X30" s="157">
        <v>16852.834999999999</v>
      </c>
      <c r="Y30" s="157">
        <v>17662.254000000001</v>
      </c>
      <c r="Z30" s="157">
        <v>16424.307000000001</v>
      </c>
      <c r="AA30" s="157">
        <v>39020.658000000003</v>
      </c>
      <c r="AB30" s="157">
        <v>49278.226000000002</v>
      </c>
      <c r="AC30" s="157">
        <v>57989</v>
      </c>
      <c r="AD30" s="1">
        <v>92034.005000000005</v>
      </c>
      <c r="AE30" s="1">
        <v>66793.273000000001</v>
      </c>
      <c r="AF30" s="1">
        <v>65543.293999999994</v>
      </c>
      <c r="AG30" s="1">
        <v>55605.83</v>
      </c>
      <c r="AH30" s="1">
        <v>58052.857000000004</v>
      </c>
      <c r="AI30" s="1">
        <v>60742.127</v>
      </c>
      <c r="AK30" s="1">
        <v>78817.482000000004</v>
      </c>
    </row>
    <row r="31" spans="1:37" ht="12.75" customHeight="1">
      <c r="A31" s="1" t="s">
        <v>44</v>
      </c>
      <c r="J31" s="157">
        <v>3266.373</v>
      </c>
      <c r="M31" s="1">
        <v>8317.9789999999994</v>
      </c>
      <c r="O31" s="1">
        <v>12479.69267</v>
      </c>
      <c r="R31" s="27">
        <v>8206.3160000000007</v>
      </c>
      <c r="S31" s="1">
        <v>9252.1910000000007</v>
      </c>
      <c r="T31" s="1">
        <v>10813.7</v>
      </c>
      <c r="U31" s="1">
        <v>11064.992</v>
      </c>
      <c r="V31" s="1">
        <v>12689.601000000001</v>
      </c>
      <c r="W31" s="157">
        <v>16258.942999999999</v>
      </c>
      <c r="X31" s="157">
        <v>13603.833000000001</v>
      </c>
      <c r="Y31" s="157">
        <v>14379.306</v>
      </c>
      <c r="Z31" s="157">
        <v>15130.964</v>
      </c>
      <c r="AA31" s="157">
        <v>21397.841</v>
      </c>
      <c r="AB31" s="157">
        <v>25165.967000000001</v>
      </c>
      <c r="AC31" s="157">
        <v>25843</v>
      </c>
      <c r="AD31" s="1">
        <v>26688.959999999999</v>
      </c>
      <c r="AE31" s="1">
        <v>24463.431</v>
      </c>
      <c r="AF31" s="1">
        <v>24676.583999999999</v>
      </c>
      <c r="AG31" s="1">
        <v>21444.579000000002</v>
      </c>
      <c r="AH31" s="1">
        <v>21866.918000000001</v>
      </c>
      <c r="AI31" s="1">
        <v>22571.045999999998</v>
      </c>
      <c r="AK31" s="1">
        <v>34735.775999999998</v>
      </c>
    </row>
    <row r="32" spans="1:37" ht="12.75" customHeight="1">
      <c r="A32" s="1" t="s">
        <v>45</v>
      </c>
      <c r="J32" s="157">
        <v>11113.709000000001</v>
      </c>
      <c r="M32" s="1">
        <v>14587.578</v>
      </c>
      <c r="O32" s="1">
        <v>27516</v>
      </c>
      <c r="R32" s="27">
        <v>32983</v>
      </c>
      <c r="S32" s="1">
        <v>36524</v>
      </c>
      <c r="T32" s="1">
        <v>43798</v>
      </c>
      <c r="U32" s="1">
        <v>39234</v>
      </c>
      <c r="V32" s="1">
        <v>12828</v>
      </c>
      <c r="W32" s="157">
        <v>16738.003000000001</v>
      </c>
      <c r="X32" s="157">
        <v>14116</v>
      </c>
      <c r="Y32" s="157">
        <v>11750</v>
      </c>
      <c r="Z32" s="157">
        <v>12644</v>
      </c>
      <c r="AA32" s="157">
        <v>79374.172999999995</v>
      </c>
      <c r="AB32" s="157">
        <v>87485.558000000005</v>
      </c>
      <c r="AC32" s="157">
        <v>96137</v>
      </c>
      <c r="AD32" s="1">
        <v>96860.634999999995</v>
      </c>
      <c r="AE32" s="1">
        <v>97942</v>
      </c>
      <c r="AF32" s="1">
        <v>99332</v>
      </c>
      <c r="AG32" s="1">
        <v>103444</v>
      </c>
      <c r="AH32" s="1">
        <v>104441</v>
      </c>
      <c r="AI32" s="1">
        <v>106758</v>
      </c>
      <c r="AK32" s="1">
        <v>162580</v>
      </c>
    </row>
    <row r="33" spans="1:37" ht="12.75" customHeight="1">
      <c r="A33" s="1" t="s">
        <v>46</v>
      </c>
      <c r="J33" s="157">
        <v>16701.455999999998</v>
      </c>
      <c r="M33" s="1">
        <v>23586.933000000001</v>
      </c>
      <c r="O33" s="1">
        <v>43661.825840000005</v>
      </c>
      <c r="R33" s="27">
        <v>31105.040000000001</v>
      </c>
      <c r="S33" s="1">
        <v>32927.720999999998</v>
      </c>
      <c r="T33" s="1">
        <v>36511.764000000003</v>
      </c>
      <c r="U33" s="1">
        <v>28720.334999999999</v>
      </c>
      <c r="V33" s="1">
        <v>31699.405999999999</v>
      </c>
      <c r="W33" s="157">
        <v>52147.347000000002</v>
      </c>
      <c r="X33" s="157">
        <v>38322.527000000002</v>
      </c>
      <c r="Y33" s="157">
        <v>39176.182999999997</v>
      </c>
      <c r="Z33" s="157">
        <v>41268.038</v>
      </c>
      <c r="AA33" s="157">
        <v>71266.913</v>
      </c>
      <c r="AB33" s="157">
        <v>78006.328999999998</v>
      </c>
      <c r="AC33" s="157">
        <v>87110</v>
      </c>
      <c r="AD33" s="1">
        <v>96117.428</v>
      </c>
      <c r="AE33" s="1">
        <v>95635.22</v>
      </c>
      <c r="AF33" s="1">
        <v>60282.406000000003</v>
      </c>
      <c r="AG33" s="1">
        <v>61050.646000000001</v>
      </c>
      <c r="AH33" s="1">
        <v>95348.187999999995</v>
      </c>
      <c r="AI33" s="1">
        <v>95574.687000000005</v>
      </c>
      <c r="AK33" s="1">
        <v>166372.315</v>
      </c>
    </row>
    <row r="34" spans="1:37" ht="12.75" customHeight="1">
      <c r="A34" s="1" t="s">
        <v>47</v>
      </c>
      <c r="J34" s="157">
        <v>57457.64</v>
      </c>
      <c r="M34" s="1">
        <v>71612.27</v>
      </c>
      <c r="O34" s="1">
        <v>102557.32209999999</v>
      </c>
      <c r="R34" s="20">
        <v>91979.203999999998</v>
      </c>
      <c r="S34" s="1">
        <v>102478.433</v>
      </c>
      <c r="T34" s="1">
        <v>117170.114</v>
      </c>
      <c r="U34" s="1">
        <v>132270.052</v>
      </c>
      <c r="V34" s="1">
        <v>147454.45499999999</v>
      </c>
      <c r="W34" s="157">
        <v>187026.46900000001</v>
      </c>
      <c r="X34" s="157">
        <v>161977.147</v>
      </c>
      <c r="Y34" s="157">
        <v>169260.56099999999</v>
      </c>
      <c r="Z34" s="157">
        <v>183574.26500000001</v>
      </c>
      <c r="AA34" s="157">
        <v>250830.50399999999</v>
      </c>
      <c r="AB34" s="157">
        <v>327544.58199999999</v>
      </c>
      <c r="AC34" s="157">
        <v>361763</v>
      </c>
      <c r="AD34" s="1">
        <v>371783.86599999998</v>
      </c>
      <c r="AE34" s="1">
        <v>354225.50099999999</v>
      </c>
      <c r="AF34" s="1">
        <v>344017.19699999999</v>
      </c>
      <c r="AG34" s="1">
        <v>328037.95799999998</v>
      </c>
      <c r="AH34" s="1">
        <v>312401.96999999997</v>
      </c>
      <c r="AI34" s="1">
        <v>310327.87300000002</v>
      </c>
      <c r="AK34" s="1">
        <v>439640.18400000001</v>
      </c>
    </row>
    <row r="35" spans="1:37" ht="12.75" customHeight="1">
      <c r="A35" s="1" t="s">
        <v>48</v>
      </c>
      <c r="J35" s="157">
        <v>33118.817000000003</v>
      </c>
      <c r="M35" s="1">
        <v>31918.815999999999</v>
      </c>
      <c r="O35" s="1">
        <v>44466.332000000002</v>
      </c>
      <c r="R35" s="20">
        <v>34614.898000000001</v>
      </c>
      <c r="S35" s="1">
        <v>38367.995999999999</v>
      </c>
      <c r="T35" s="1">
        <v>48429.51</v>
      </c>
      <c r="U35" s="1">
        <v>42170.122000000003</v>
      </c>
      <c r="V35" s="1">
        <v>47992.722000000002</v>
      </c>
      <c r="W35" s="157">
        <v>66195.566000000006</v>
      </c>
      <c r="X35" s="157">
        <v>54756.413</v>
      </c>
      <c r="Y35" s="157">
        <v>59110.807999999997</v>
      </c>
      <c r="Z35" s="157">
        <v>60262.322999999997</v>
      </c>
      <c r="AA35" s="157">
        <v>76002.540999999997</v>
      </c>
      <c r="AB35" s="157">
        <v>116921.861</v>
      </c>
      <c r="AC35" s="157">
        <v>99304</v>
      </c>
      <c r="AD35" s="1">
        <v>90679.592999999993</v>
      </c>
      <c r="AE35" s="1">
        <v>134942.04999999999</v>
      </c>
      <c r="AF35" s="1">
        <v>135769.42199999999</v>
      </c>
      <c r="AG35" s="1">
        <v>135253.66500000001</v>
      </c>
      <c r="AH35" s="1">
        <v>94280.547999999995</v>
      </c>
      <c r="AI35" s="1">
        <v>95695.585999999996</v>
      </c>
      <c r="AK35" s="1">
        <v>113794.262</v>
      </c>
    </row>
    <row r="36" spans="1:37" ht="12.75" customHeight="1">
      <c r="A36" s="1" t="s">
        <v>49</v>
      </c>
      <c r="J36" s="157">
        <v>106493.291</v>
      </c>
      <c r="M36" s="1">
        <v>163990.443</v>
      </c>
      <c r="O36" s="1">
        <v>249838.11601999999</v>
      </c>
      <c r="R36" s="20">
        <v>230363.92199999999</v>
      </c>
      <c r="S36" s="1">
        <v>254213.736</v>
      </c>
      <c r="T36" s="1">
        <v>281200.152</v>
      </c>
      <c r="U36" s="1">
        <v>323575.7</v>
      </c>
      <c r="V36" s="1">
        <v>272747.11499999999</v>
      </c>
      <c r="W36" s="157">
        <v>389843.85200000001</v>
      </c>
      <c r="X36" s="157">
        <v>238691.11900000001</v>
      </c>
      <c r="Y36" s="157">
        <v>199902.05100000001</v>
      </c>
      <c r="Z36" s="157">
        <v>218296.49</v>
      </c>
      <c r="AA36" s="157">
        <v>435119.06900000002</v>
      </c>
      <c r="AB36" s="157">
        <v>516107.54800000001</v>
      </c>
      <c r="AC36" s="157">
        <v>582164</v>
      </c>
      <c r="AD36" s="1">
        <v>620292.16500000004</v>
      </c>
      <c r="AE36" s="1">
        <v>643648.29700000002</v>
      </c>
      <c r="AF36" s="1">
        <v>504021.33100000001</v>
      </c>
      <c r="AG36" s="1">
        <v>497138.53600000002</v>
      </c>
      <c r="AH36" s="1">
        <v>562123.74699999997</v>
      </c>
      <c r="AI36" s="1">
        <v>601330.478</v>
      </c>
      <c r="AK36" s="1">
        <v>908466.65700000001</v>
      </c>
    </row>
    <row r="37" spans="1:37" ht="12.75" customHeight="1">
      <c r="A37" s="30" t="s">
        <v>50</v>
      </c>
      <c r="B37" s="30"/>
      <c r="C37" s="30"/>
      <c r="D37" s="30"/>
      <c r="E37" s="30"/>
      <c r="F37" s="30"/>
      <c r="G37" s="30"/>
      <c r="H37" s="30"/>
      <c r="I37" s="30"/>
      <c r="J37" s="158">
        <v>9734.1689999999999</v>
      </c>
      <c r="K37" s="30"/>
      <c r="L37" s="30"/>
      <c r="M37" s="30">
        <v>12017.924999999999</v>
      </c>
      <c r="N37" s="30"/>
      <c r="O37" s="30">
        <v>20257.256000000001</v>
      </c>
      <c r="P37" s="30"/>
      <c r="Q37" s="30"/>
      <c r="R37" s="40">
        <v>17370.561000000002</v>
      </c>
      <c r="S37" s="30">
        <v>17820.127</v>
      </c>
      <c r="T37" s="30">
        <v>19119.97</v>
      </c>
      <c r="U37" s="30">
        <v>15896.941000000001</v>
      </c>
      <c r="V37" s="30">
        <v>17320.553</v>
      </c>
      <c r="W37" s="158">
        <v>24333.717000000001</v>
      </c>
      <c r="X37" s="158">
        <v>20883.388999999999</v>
      </c>
      <c r="Y37" s="158">
        <v>21203.19</v>
      </c>
      <c r="Z37" s="158">
        <v>23758.645</v>
      </c>
      <c r="AA37" s="158">
        <v>34387.093000000001</v>
      </c>
      <c r="AB37" s="158">
        <v>40764.553999999996</v>
      </c>
      <c r="AC37" s="158">
        <v>42791</v>
      </c>
      <c r="AD37" s="30">
        <v>45007.652000000002</v>
      </c>
      <c r="AE37" s="30">
        <v>44744.722000000002</v>
      </c>
      <c r="AF37" s="30">
        <v>47203.909</v>
      </c>
      <c r="AG37" s="30">
        <v>45061.792999999998</v>
      </c>
      <c r="AH37" s="30">
        <v>43595.953999999998</v>
      </c>
      <c r="AI37" s="30">
        <v>46818.214</v>
      </c>
      <c r="AJ37" s="30"/>
      <c r="AK37" s="30">
        <v>72179.486000000004</v>
      </c>
    </row>
    <row r="38" spans="1:37" ht="12.75" customHeight="1">
      <c r="A38" s="6" t="s">
        <v>51</v>
      </c>
      <c r="B38" s="58">
        <f>SUM(B40:B51)</f>
        <v>0</v>
      </c>
      <c r="C38" s="58">
        <f t="shared" ref="C38:AK38" si="13">SUM(C40:C51)</f>
        <v>0</v>
      </c>
      <c r="D38" s="58">
        <f t="shared" si="13"/>
        <v>0</v>
      </c>
      <c r="E38" s="58">
        <f t="shared" si="13"/>
        <v>0</v>
      </c>
      <c r="F38" s="58">
        <f t="shared" si="13"/>
        <v>0</v>
      </c>
      <c r="G38" s="58">
        <f t="shared" si="13"/>
        <v>0</v>
      </c>
      <c r="H38" s="58">
        <f t="shared" si="13"/>
        <v>0</v>
      </c>
      <c r="I38" s="58">
        <f t="shared" si="13"/>
        <v>0</v>
      </c>
      <c r="J38" s="58">
        <f t="shared" si="13"/>
        <v>1024254.214</v>
      </c>
      <c r="K38" s="58">
        <f t="shared" si="13"/>
        <v>0</v>
      </c>
      <c r="L38" s="58">
        <f t="shared" si="13"/>
        <v>0</v>
      </c>
      <c r="M38" s="58">
        <f t="shared" si="13"/>
        <v>1191278.2059999998</v>
      </c>
      <c r="N38" s="58">
        <f t="shared" si="13"/>
        <v>0</v>
      </c>
      <c r="O38" s="58">
        <f t="shared" si="13"/>
        <v>1718124.2756899998</v>
      </c>
      <c r="P38" s="58">
        <f t="shared" si="13"/>
        <v>0</v>
      </c>
      <c r="Q38" s="58">
        <f t="shared" si="13"/>
        <v>0</v>
      </c>
      <c r="R38" s="58">
        <f t="shared" si="13"/>
        <v>1518220.702</v>
      </c>
      <c r="S38" s="58">
        <f t="shared" si="13"/>
        <v>1612731.9350000003</v>
      </c>
      <c r="T38" s="58">
        <f t="shared" si="13"/>
        <v>1758323.7340000004</v>
      </c>
      <c r="U38" s="58">
        <f t="shared" si="13"/>
        <v>1559462.7949999997</v>
      </c>
      <c r="V38" s="58">
        <f t="shared" si="13"/>
        <v>1683463.2549999999</v>
      </c>
      <c r="W38" s="58">
        <f t="shared" si="13"/>
        <v>2388954.6480000005</v>
      </c>
      <c r="X38" s="58">
        <f t="shared" si="13"/>
        <v>1946281.0890000002</v>
      </c>
      <c r="Y38" s="58">
        <f t="shared" si="13"/>
        <v>2038563.3239999998</v>
      </c>
      <c r="Z38" s="58">
        <f t="shared" si="13"/>
        <v>2149476.3849999998</v>
      </c>
      <c r="AA38" s="58">
        <f t="shared" si="13"/>
        <v>3296065.9860000005</v>
      </c>
      <c r="AB38" s="58">
        <f t="shared" si="13"/>
        <v>3840819.8659999995</v>
      </c>
      <c r="AC38" s="58">
        <f t="shared" si="13"/>
        <v>4215662</v>
      </c>
      <c r="AD38" s="58">
        <f t="shared" si="13"/>
        <v>4237159.5640000012</v>
      </c>
      <c r="AE38" s="58">
        <f t="shared" si="13"/>
        <v>4303909.9119999995</v>
      </c>
      <c r="AF38" s="58">
        <f t="shared" si="13"/>
        <v>3449166.2650000006</v>
      </c>
      <c r="AG38" s="58">
        <f t="shared" si="13"/>
        <v>3390262.4020000007</v>
      </c>
      <c r="AH38" s="58">
        <f t="shared" si="13"/>
        <v>4023313.9759999993</v>
      </c>
      <c r="AI38" s="58">
        <f t="shared" si="13"/>
        <v>3984422.611</v>
      </c>
      <c r="AJ38" s="58">
        <f t="shared" si="13"/>
        <v>0</v>
      </c>
      <c r="AK38" s="58">
        <f t="shared" si="13"/>
        <v>4808842.006000001</v>
      </c>
    </row>
    <row r="39" spans="1:37" ht="12.75" customHeight="1">
      <c r="A39" s="6" t="s">
        <v>94</v>
      </c>
    </row>
    <row r="40" spans="1:37" ht="12.75" customHeight="1">
      <c r="A40" s="1" t="s">
        <v>52</v>
      </c>
      <c r="J40" s="157">
        <v>198904.071</v>
      </c>
      <c r="M40" s="1">
        <v>242257.18900000001</v>
      </c>
      <c r="O40" s="1">
        <v>342657.40243999998</v>
      </c>
      <c r="R40" s="20">
        <v>312599.86300000001</v>
      </c>
      <c r="S40" s="1">
        <v>330336.11499999999</v>
      </c>
      <c r="T40" s="1">
        <v>369959.54300000001</v>
      </c>
      <c r="U40" s="1">
        <v>309800.29399999999</v>
      </c>
      <c r="V40" s="1">
        <v>329591.50300000003</v>
      </c>
      <c r="W40" s="157">
        <v>473295.67800000001</v>
      </c>
      <c r="X40" s="157">
        <v>385635.88</v>
      </c>
      <c r="Y40" s="157">
        <v>401600.71899999998</v>
      </c>
      <c r="Z40" s="157">
        <v>434223.12</v>
      </c>
      <c r="AA40" s="157">
        <v>641725.68599999999</v>
      </c>
      <c r="AB40" s="157">
        <v>748196.55799999996</v>
      </c>
      <c r="AC40" s="157">
        <v>841408</v>
      </c>
      <c r="AD40" s="1">
        <v>843699.74899999995</v>
      </c>
      <c r="AE40" s="1">
        <v>855486.78399999999</v>
      </c>
      <c r="AF40" s="1">
        <v>529430.22699999996</v>
      </c>
      <c r="AG40" s="1">
        <v>529424.73600000003</v>
      </c>
      <c r="AH40" s="1">
        <v>837263.50800000003</v>
      </c>
      <c r="AI40" s="1">
        <v>838170.91799999995</v>
      </c>
      <c r="AK40" s="1">
        <v>993134.83299999998</v>
      </c>
    </row>
    <row r="41" spans="1:37" ht="12.75" customHeight="1">
      <c r="A41" s="1" t="s">
        <v>53</v>
      </c>
      <c r="J41" s="157">
        <v>42303.499000000003</v>
      </c>
      <c r="M41" s="1">
        <v>47439.290999999997</v>
      </c>
      <c r="O41" s="1">
        <v>74207.421000000002</v>
      </c>
      <c r="R41" s="20">
        <v>63579.591</v>
      </c>
      <c r="S41" s="1">
        <v>69510.115999999995</v>
      </c>
      <c r="T41" s="1">
        <v>93031.154999999999</v>
      </c>
      <c r="U41" s="1">
        <v>78996.366999999998</v>
      </c>
      <c r="V41" s="1">
        <v>72554.142999999996</v>
      </c>
      <c r="W41" s="157">
        <v>109482.501</v>
      </c>
      <c r="X41" s="157">
        <v>88925.7</v>
      </c>
      <c r="Y41" s="157">
        <v>91951.423999999999</v>
      </c>
      <c r="Z41" s="157">
        <v>114256.91899999999</v>
      </c>
      <c r="AA41" s="157">
        <v>175799.20699999999</v>
      </c>
      <c r="AB41" s="157">
        <v>224897.10800000001</v>
      </c>
      <c r="AC41" s="157">
        <v>248030</v>
      </c>
      <c r="AD41" s="1">
        <v>255033.04300000001</v>
      </c>
      <c r="AE41" s="1">
        <v>290030.01299999998</v>
      </c>
      <c r="AF41" s="1">
        <v>285906.94799999997</v>
      </c>
      <c r="AG41" s="1">
        <v>274674.03399999999</v>
      </c>
      <c r="AH41" s="1">
        <v>221184.59400000001</v>
      </c>
      <c r="AI41" s="1">
        <v>210876.978</v>
      </c>
      <c r="AK41" s="1">
        <v>333120.98499999999</v>
      </c>
    </row>
    <row r="42" spans="1:37" ht="12.75" customHeight="1">
      <c r="A42" s="1" t="s">
        <v>54</v>
      </c>
      <c r="J42" s="157">
        <v>81362.225000000006</v>
      </c>
      <c r="M42" s="1">
        <v>89959.093999999997</v>
      </c>
      <c r="O42" s="1">
        <v>133954.57800000001</v>
      </c>
      <c r="R42" s="20">
        <v>124030.064</v>
      </c>
      <c r="S42" s="1">
        <v>131031.823</v>
      </c>
      <c r="T42" s="1">
        <v>149058.63</v>
      </c>
      <c r="U42" s="1">
        <v>118348.79</v>
      </c>
      <c r="V42" s="1">
        <v>126739.41800000001</v>
      </c>
      <c r="W42" s="157">
        <v>188589.378</v>
      </c>
      <c r="X42" s="157">
        <v>148103.204</v>
      </c>
      <c r="Y42" s="157">
        <v>155626.46299999999</v>
      </c>
      <c r="Z42" s="157">
        <v>161815.61900000001</v>
      </c>
      <c r="AA42" s="157">
        <v>232758.66</v>
      </c>
      <c r="AB42" s="157">
        <v>272194.60200000001</v>
      </c>
      <c r="AC42" s="157">
        <v>299071</v>
      </c>
      <c r="AD42" s="1">
        <v>304193.95799999998</v>
      </c>
      <c r="AE42" s="1">
        <v>298406.69799999997</v>
      </c>
      <c r="AF42" s="1">
        <v>272644.98700000002</v>
      </c>
      <c r="AG42" s="1">
        <v>269275.13400000002</v>
      </c>
      <c r="AH42" s="1">
        <v>290559.21399999998</v>
      </c>
      <c r="AI42" s="1">
        <v>291341.71399999998</v>
      </c>
      <c r="AK42" s="1">
        <v>337159.212</v>
      </c>
    </row>
    <row r="43" spans="1:37" ht="12.75" customHeight="1">
      <c r="A43" s="1" t="s">
        <v>55</v>
      </c>
      <c r="J43" s="157">
        <v>34924.713000000003</v>
      </c>
      <c r="M43" s="1">
        <v>52687.898999999998</v>
      </c>
      <c r="O43" s="1">
        <v>73851.224340000001</v>
      </c>
      <c r="R43" s="20">
        <v>61972.932999999997</v>
      </c>
      <c r="S43" s="1">
        <v>65582.947</v>
      </c>
      <c r="T43" s="1">
        <v>72861.762000000002</v>
      </c>
      <c r="U43" s="1">
        <v>76679.042000000001</v>
      </c>
      <c r="V43" s="1">
        <v>83642.687000000005</v>
      </c>
      <c r="W43" s="157">
        <v>107201.363</v>
      </c>
      <c r="X43" s="157">
        <v>98704.766000000003</v>
      </c>
      <c r="Y43" s="157">
        <v>100220.63099999999</v>
      </c>
      <c r="Z43" s="157">
        <v>98638.062999999995</v>
      </c>
      <c r="AA43" s="157">
        <v>138346.41099999999</v>
      </c>
      <c r="AB43" s="157">
        <v>158537.38399999999</v>
      </c>
      <c r="AC43" s="157">
        <v>176688</v>
      </c>
      <c r="AD43" s="1">
        <v>170950.55300000001</v>
      </c>
      <c r="AE43" s="1">
        <v>187358.74799999999</v>
      </c>
      <c r="AF43" s="1">
        <v>135284.39799999999</v>
      </c>
      <c r="AG43" s="1">
        <v>140027.06700000001</v>
      </c>
      <c r="AH43" s="1">
        <v>187230.14600000001</v>
      </c>
      <c r="AI43" s="1">
        <v>189183.552</v>
      </c>
      <c r="AK43" s="1">
        <v>267421.22399999999</v>
      </c>
    </row>
    <row r="44" spans="1:37" ht="12.75" customHeight="1">
      <c r="A44" s="1" t="s">
        <v>56</v>
      </c>
      <c r="J44" s="157">
        <v>203136.60699999999</v>
      </c>
      <c r="M44" s="1">
        <v>234334.446</v>
      </c>
      <c r="O44" s="1">
        <v>290069.95679999999</v>
      </c>
      <c r="R44" s="20">
        <v>255923.649</v>
      </c>
      <c r="S44" s="1">
        <v>267496.16800000001</v>
      </c>
      <c r="T44" s="1">
        <v>288730.59100000001</v>
      </c>
      <c r="U44" s="1">
        <v>247429.65400000001</v>
      </c>
      <c r="V44" s="1">
        <v>269794.31199999998</v>
      </c>
      <c r="W44" s="157">
        <v>396312.43599999999</v>
      </c>
      <c r="X44" s="157">
        <v>316060.598</v>
      </c>
      <c r="Y44" s="157">
        <v>344692.85100000002</v>
      </c>
      <c r="Z44" s="157">
        <v>365794.37599999999</v>
      </c>
      <c r="AA44" s="157">
        <v>565580.06999999995</v>
      </c>
      <c r="AB44" s="157">
        <v>669069.93799999997</v>
      </c>
      <c r="AC44" s="157">
        <v>716304</v>
      </c>
      <c r="AD44" s="1">
        <v>699883.17599999998</v>
      </c>
      <c r="AE44" s="1">
        <v>687845.93299999996</v>
      </c>
      <c r="AF44" s="1">
        <v>630943.66700000002</v>
      </c>
      <c r="AG44" s="1">
        <v>621253.45200000005</v>
      </c>
      <c r="AH44" s="1">
        <v>644610.08700000006</v>
      </c>
      <c r="AI44" s="1">
        <v>644241.429</v>
      </c>
      <c r="AK44" s="1">
        <v>747891.07499999995</v>
      </c>
    </row>
    <row r="45" spans="1:37" ht="12.75" customHeight="1">
      <c r="A45" s="1" t="s">
        <v>57</v>
      </c>
      <c r="J45" s="157">
        <v>105999.251</v>
      </c>
      <c r="M45" s="1">
        <v>142873.05799999999</v>
      </c>
      <c r="O45" s="1">
        <v>217293.36366</v>
      </c>
      <c r="R45" s="20">
        <v>183008.66399999999</v>
      </c>
      <c r="S45" s="1">
        <v>203108.965</v>
      </c>
      <c r="T45" s="1">
        <v>224781.717</v>
      </c>
      <c r="U45" s="1">
        <v>225232.981</v>
      </c>
      <c r="V45" s="1">
        <v>245357.8</v>
      </c>
      <c r="W45" s="157">
        <v>327031.348</v>
      </c>
      <c r="X45" s="157">
        <v>255180.071</v>
      </c>
      <c r="Y45" s="157">
        <v>276056.01799999998</v>
      </c>
      <c r="Z45" s="157">
        <v>296379.15899999999</v>
      </c>
      <c r="AA45" s="157">
        <v>434489.217</v>
      </c>
      <c r="AB45" s="157">
        <v>480664.75199999998</v>
      </c>
      <c r="AC45" s="157">
        <v>502288</v>
      </c>
      <c r="AD45" s="1">
        <v>507072.93900000001</v>
      </c>
      <c r="AE45" s="1">
        <v>510143.86300000001</v>
      </c>
      <c r="AF45" s="1">
        <v>378534.80499999999</v>
      </c>
      <c r="AG45" s="1">
        <v>365558.78100000002</v>
      </c>
      <c r="AH45" s="1">
        <v>445994.071</v>
      </c>
      <c r="AI45" s="1">
        <v>430615.34100000001</v>
      </c>
      <c r="AK45" s="1">
        <v>464170.25400000002</v>
      </c>
    </row>
    <row r="46" spans="1:37" ht="12.75" customHeight="1">
      <c r="A46" s="1" t="s">
        <v>58</v>
      </c>
      <c r="J46" s="157">
        <v>57403.680999999997</v>
      </c>
      <c r="M46" s="1">
        <v>27881.937999999998</v>
      </c>
      <c r="O46" s="1">
        <v>97777.119000000006</v>
      </c>
      <c r="R46" s="20">
        <v>42592.508000000002</v>
      </c>
      <c r="S46" s="1">
        <v>59466.773000000001</v>
      </c>
      <c r="T46" s="1">
        <v>56452.440999999999</v>
      </c>
      <c r="U46" s="1">
        <v>52388.606</v>
      </c>
      <c r="V46" s="1">
        <v>58155.898999999998</v>
      </c>
      <c r="W46" s="157">
        <v>90743.376999999993</v>
      </c>
      <c r="X46" s="157">
        <v>66370.316000000006</v>
      </c>
      <c r="Y46" s="157">
        <v>72591.290999999997</v>
      </c>
      <c r="Z46" s="157">
        <v>73273.14</v>
      </c>
      <c r="AA46" s="157">
        <v>120362.50199999999</v>
      </c>
      <c r="AB46" s="157">
        <v>144423.584</v>
      </c>
      <c r="AC46" s="157">
        <v>211082</v>
      </c>
      <c r="AD46" s="1">
        <v>227121.40900000001</v>
      </c>
      <c r="AE46" s="1">
        <v>213912.18400000001</v>
      </c>
      <c r="AF46" s="1">
        <v>261659.12</v>
      </c>
      <c r="AG46" s="1">
        <v>250707.29399999999</v>
      </c>
      <c r="AH46" s="1">
        <v>244494.201</v>
      </c>
      <c r="AI46" s="1">
        <v>250654.856</v>
      </c>
      <c r="AK46" s="1">
        <v>312035.32900000003</v>
      </c>
    </row>
    <row r="47" spans="1:37" ht="12.75" customHeight="1">
      <c r="A47" s="1" t="s">
        <v>59</v>
      </c>
      <c r="J47" s="157">
        <v>14150.387000000001</v>
      </c>
      <c r="M47" s="1">
        <v>15999.031000000001</v>
      </c>
      <c r="O47" s="1">
        <v>37994.608999999997</v>
      </c>
      <c r="R47" s="27">
        <v>33936.370999999999</v>
      </c>
      <c r="S47" s="1">
        <v>35768.533000000003</v>
      </c>
      <c r="T47" s="1">
        <v>38770.061000000002</v>
      </c>
      <c r="U47" s="1">
        <v>34310.754999999997</v>
      </c>
      <c r="V47" s="1">
        <v>37994.449000000001</v>
      </c>
      <c r="W47" s="157">
        <v>53049.838000000003</v>
      </c>
      <c r="X47" s="157">
        <v>45335.834000000003</v>
      </c>
      <c r="Y47" s="157">
        <v>47779.561999999998</v>
      </c>
      <c r="Z47" s="157">
        <v>51087.493999999999</v>
      </c>
      <c r="AA47" s="157">
        <v>70999.743000000002</v>
      </c>
      <c r="AB47" s="157">
        <v>81019.748999999996</v>
      </c>
      <c r="AC47" s="157">
        <v>88681</v>
      </c>
      <c r="AD47" s="1">
        <v>92535.952999999994</v>
      </c>
      <c r="AE47" s="1">
        <v>90317.239000000001</v>
      </c>
      <c r="AF47" s="1">
        <v>75993.429000000004</v>
      </c>
      <c r="AG47" s="1">
        <v>74606.256999999998</v>
      </c>
      <c r="AH47" s="1">
        <v>81058.760999999999</v>
      </c>
      <c r="AI47" s="1">
        <v>79949.990999999995</v>
      </c>
      <c r="AK47" s="1">
        <v>110505.79</v>
      </c>
    </row>
    <row r="48" spans="1:37" ht="12.75" customHeight="1">
      <c r="A48" s="1" t="s">
        <v>60</v>
      </c>
      <c r="J48" s="157">
        <v>11321.928</v>
      </c>
      <c r="M48" s="1">
        <v>14100.536</v>
      </c>
      <c r="O48" s="1">
        <v>19984.119079999997</v>
      </c>
      <c r="R48" s="20">
        <v>17487.523000000001</v>
      </c>
      <c r="S48" s="1">
        <v>17246.274000000001</v>
      </c>
      <c r="T48" s="1">
        <v>19608.482</v>
      </c>
      <c r="U48" s="1">
        <v>16232.392</v>
      </c>
      <c r="V48" s="1">
        <v>18245.621999999999</v>
      </c>
      <c r="W48" s="157">
        <v>28231.494999999999</v>
      </c>
      <c r="X48" s="157">
        <v>22546.75</v>
      </c>
      <c r="Y48" s="157">
        <v>24702.935000000001</v>
      </c>
      <c r="Z48" s="157">
        <v>15615.126</v>
      </c>
      <c r="AA48" s="157">
        <v>37599.555</v>
      </c>
      <c r="AB48" s="157">
        <v>40924.419000000002</v>
      </c>
      <c r="AC48" s="157">
        <v>42941</v>
      </c>
      <c r="AD48" s="1">
        <v>42765.027000000002</v>
      </c>
      <c r="AE48" s="1">
        <v>42160.584999999999</v>
      </c>
      <c r="AF48" s="1">
        <v>42398.555</v>
      </c>
      <c r="AG48" s="1">
        <v>41215.254000000001</v>
      </c>
      <c r="AH48" s="1">
        <v>42389.34</v>
      </c>
      <c r="AI48" s="1">
        <v>43976.373</v>
      </c>
      <c r="AK48" s="1">
        <v>52163.392999999996</v>
      </c>
    </row>
    <row r="49" spans="1:37" ht="12.75" customHeight="1">
      <c r="A49" s="1" t="s">
        <v>61</v>
      </c>
      <c r="J49" s="157">
        <v>190928.228</v>
      </c>
      <c r="M49" s="1">
        <v>228718.05499999999</v>
      </c>
      <c r="O49" s="1">
        <v>290318.93599999999</v>
      </c>
      <c r="R49" s="20">
        <v>285085.34399999998</v>
      </c>
      <c r="S49" s="1">
        <v>288022.99900000001</v>
      </c>
      <c r="T49" s="1">
        <v>284523.587</v>
      </c>
      <c r="U49" s="1">
        <v>267480.141</v>
      </c>
      <c r="V49" s="1">
        <v>281715.26799999998</v>
      </c>
      <c r="W49" s="157">
        <v>398683.902</v>
      </c>
      <c r="X49" s="157">
        <v>333277.85499999998</v>
      </c>
      <c r="Y49" s="157">
        <v>345979.29200000002</v>
      </c>
      <c r="Z49" s="157">
        <v>349567.58299999998</v>
      </c>
      <c r="AA49" s="157">
        <v>628541.47900000005</v>
      </c>
      <c r="AB49" s="157">
        <v>691482.89099999995</v>
      </c>
      <c r="AC49" s="157">
        <v>739871</v>
      </c>
      <c r="AD49" s="1">
        <v>739110.23499999999</v>
      </c>
      <c r="AE49" s="1">
        <v>768096.30099999998</v>
      </c>
      <c r="AF49" s="1">
        <v>696322.1</v>
      </c>
      <c r="AG49" s="1">
        <v>683278.48199999996</v>
      </c>
      <c r="AH49" s="1">
        <v>680431.59600000002</v>
      </c>
      <c r="AI49" s="1">
        <v>668227.11499999999</v>
      </c>
      <c r="AK49" s="1">
        <v>794057.41799999995</v>
      </c>
    </row>
    <row r="50" spans="1:37" ht="12.75" customHeight="1">
      <c r="A50" s="1" t="s">
        <v>62</v>
      </c>
      <c r="J50" s="157">
        <v>211.37299999999999</v>
      </c>
      <c r="M50" s="1">
        <v>443.47699999999998</v>
      </c>
      <c r="O50" s="1">
        <v>13583.98537</v>
      </c>
      <c r="R50" s="20">
        <v>12427.198</v>
      </c>
      <c r="S50" s="1">
        <v>12736.773999999999</v>
      </c>
      <c r="T50" s="1">
        <v>13764.857</v>
      </c>
      <c r="U50" s="1">
        <v>13942.050999999999</v>
      </c>
      <c r="V50" s="1">
        <v>16407.240000000002</v>
      </c>
      <c r="W50" s="157">
        <v>19076.746999999999</v>
      </c>
      <c r="X50" s="157">
        <v>16685.992999999999</v>
      </c>
      <c r="Y50" s="157">
        <v>18237.82</v>
      </c>
      <c r="Z50" s="157">
        <v>20124.116000000002</v>
      </c>
      <c r="AA50" s="157">
        <v>27859.094000000001</v>
      </c>
      <c r="AB50" s="157">
        <v>34362.006999999998</v>
      </c>
      <c r="AC50" s="157">
        <v>35388</v>
      </c>
      <c r="AD50" s="1">
        <v>35603.235000000001</v>
      </c>
      <c r="AE50" s="1">
        <v>38654.760999999999</v>
      </c>
      <c r="AF50" s="1">
        <v>40769.946000000004</v>
      </c>
      <c r="AG50" s="1">
        <v>45517.366000000002</v>
      </c>
      <c r="AH50" s="1">
        <v>47397.478000000003</v>
      </c>
      <c r="AI50" s="1">
        <v>46826.807999999997</v>
      </c>
      <c r="AK50" s="1">
        <v>68343.513000000006</v>
      </c>
    </row>
    <row r="51" spans="1:37" ht="12.75" customHeight="1">
      <c r="A51" s="30" t="s">
        <v>63</v>
      </c>
      <c r="B51" s="30"/>
      <c r="C51" s="30"/>
      <c r="D51" s="30"/>
      <c r="E51" s="30"/>
      <c r="F51" s="30"/>
      <c r="G51" s="30"/>
      <c r="H51" s="30"/>
      <c r="I51" s="30"/>
      <c r="J51" s="158">
        <v>83608.251000000004</v>
      </c>
      <c r="K51" s="30"/>
      <c r="L51" s="30"/>
      <c r="M51" s="30">
        <v>94584.191999999995</v>
      </c>
      <c r="N51" s="30"/>
      <c r="O51" s="30">
        <v>126431.561</v>
      </c>
      <c r="P51" s="30"/>
      <c r="Q51" s="30"/>
      <c r="R51" s="40">
        <v>125576.99400000001</v>
      </c>
      <c r="S51" s="30">
        <v>132424.448</v>
      </c>
      <c r="T51" s="30">
        <v>146780.908</v>
      </c>
      <c r="U51" s="30">
        <v>118621.72199999999</v>
      </c>
      <c r="V51" s="30">
        <v>143264.91399999999</v>
      </c>
      <c r="W51" s="158">
        <v>197256.58499999999</v>
      </c>
      <c r="X51" s="158">
        <v>169454.122</v>
      </c>
      <c r="Y51" s="158">
        <v>159124.318</v>
      </c>
      <c r="Z51" s="158">
        <v>168701.67</v>
      </c>
      <c r="AA51" s="158">
        <v>222004.36199999999</v>
      </c>
      <c r="AB51" s="158">
        <v>295046.87400000001</v>
      </c>
      <c r="AC51" s="158">
        <v>313910</v>
      </c>
      <c r="AD51" s="30">
        <v>319190.28700000001</v>
      </c>
      <c r="AE51" s="30">
        <v>321496.80300000001</v>
      </c>
      <c r="AF51" s="30">
        <v>99278.082999999999</v>
      </c>
      <c r="AG51" s="30">
        <v>94724.544999999998</v>
      </c>
      <c r="AH51" s="30">
        <v>300700.98</v>
      </c>
      <c r="AI51" s="30">
        <v>290357.53600000002</v>
      </c>
      <c r="AJ51" s="30"/>
      <c r="AK51" s="30">
        <v>328838.98</v>
      </c>
    </row>
    <row r="52" spans="1:37" ht="12.75" customHeight="1">
      <c r="A52" s="6" t="s">
        <v>64</v>
      </c>
      <c r="B52" s="58">
        <f>SUM(B54:B62)</f>
        <v>0</v>
      </c>
      <c r="C52" s="58">
        <f t="shared" ref="C52:AK52" si="14">SUM(C54:C62)</f>
        <v>0</v>
      </c>
      <c r="D52" s="58">
        <f t="shared" si="14"/>
        <v>0</v>
      </c>
      <c r="E52" s="58">
        <f t="shared" si="14"/>
        <v>0</v>
      </c>
      <c r="F52" s="58">
        <f t="shared" si="14"/>
        <v>0</v>
      </c>
      <c r="G52" s="58">
        <f t="shared" si="14"/>
        <v>0</v>
      </c>
      <c r="H52" s="58">
        <f t="shared" si="14"/>
        <v>0</v>
      </c>
      <c r="I52" s="58">
        <f t="shared" si="14"/>
        <v>0</v>
      </c>
      <c r="J52" s="58">
        <f t="shared" si="14"/>
        <v>794256.51600000006</v>
      </c>
      <c r="K52" s="58">
        <f t="shared" si="14"/>
        <v>0</v>
      </c>
      <c r="L52" s="58">
        <f t="shared" si="14"/>
        <v>0</v>
      </c>
      <c r="M52" s="58">
        <f t="shared" si="14"/>
        <v>962824.48299999989</v>
      </c>
      <c r="N52" s="58">
        <f t="shared" si="14"/>
        <v>0</v>
      </c>
      <c r="O52" s="58">
        <f t="shared" si="14"/>
        <v>1375177.0101399999</v>
      </c>
      <c r="P52" s="58">
        <f t="shared" si="14"/>
        <v>0</v>
      </c>
      <c r="Q52" s="58">
        <f t="shared" si="14"/>
        <v>0</v>
      </c>
      <c r="R52" s="58">
        <f t="shared" si="14"/>
        <v>1081098.571</v>
      </c>
      <c r="S52" s="58">
        <f t="shared" si="14"/>
        <v>1203371.746</v>
      </c>
      <c r="T52" s="58">
        <f t="shared" si="14"/>
        <v>1328529.9909999999</v>
      </c>
      <c r="U52" s="58">
        <f t="shared" si="14"/>
        <v>1112329.6100000001</v>
      </c>
      <c r="V52" s="58">
        <f t="shared" si="14"/>
        <v>1217706.9340000001</v>
      </c>
      <c r="W52" s="58">
        <f t="shared" si="14"/>
        <v>1796374.4010000003</v>
      </c>
      <c r="X52" s="58">
        <f t="shared" si="14"/>
        <v>1384919.8370000001</v>
      </c>
      <c r="Y52" s="58">
        <f t="shared" si="14"/>
        <v>1474444.2210000001</v>
      </c>
      <c r="Z52" s="58">
        <f t="shared" si="14"/>
        <v>1571585.0890000002</v>
      </c>
      <c r="AA52" s="58">
        <f t="shared" si="14"/>
        <v>2401128.1319999998</v>
      </c>
      <c r="AB52" s="58">
        <f t="shared" si="14"/>
        <v>2763396.9049999993</v>
      </c>
      <c r="AC52" s="58">
        <f t="shared" si="14"/>
        <v>2913841</v>
      </c>
      <c r="AD52" s="58">
        <f t="shared" si="14"/>
        <v>3037635.11</v>
      </c>
      <c r="AE52" s="58">
        <f t="shared" si="14"/>
        <v>3147784.3939999994</v>
      </c>
      <c r="AF52" s="58">
        <f t="shared" si="14"/>
        <v>3165030.892</v>
      </c>
      <c r="AG52" s="58">
        <f t="shared" si="14"/>
        <v>3180811.2900000005</v>
      </c>
      <c r="AH52" s="58">
        <f t="shared" si="14"/>
        <v>3130855.5930000003</v>
      </c>
      <c r="AI52" s="58">
        <f t="shared" si="14"/>
        <v>3113429.1590000005</v>
      </c>
      <c r="AJ52" s="58">
        <f t="shared" si="14"/>
        <v>0</v>
      </c>
      <c r="AK52" s="58">
        <f t="shared" si="14"/>
        <v>3633195.7109999997</v>
      </c>
    </row>
    <row r="53" spans="1:37" ht="12.75" customHeight="1">
      <c r="A53" s="6" t="s">
        <v>94</v>
      </c>
    </row>
    <row r="54" spans="1:37" ht="12.75" customHeight="1">
      <c r="A54" s="1" t="s">
        <v>65</v>
      </c>
      <c r="J54" s="157">
        <v>37583.622000000003</v>
      </c>
      <c r="M54" s="1">
        <v>46910.906000000003</v>
      </c>
      <c r="O54" s="1">
        <v>62586.341140000004</v>
      </c>
      <c r="R54" s="20">
        <v>56036.267</v>
      </c>
      <c r="S54" s="1">
        <v>59916.417000000001</v>
      </c>
      <c r="T54" s="1">
        <v>64633.91</v>
      </c>
      <c r="U54" s="1">
        <v>57433.351000000002</v>
      </c>
      <c r="V54" s="1">
        <v>64726.106</v>
      </c>
      <c r="W54" s="157">
        <v>93202.024000000005</v>
      </c>
      <c r="X54" s="157">
        <v>72687.726999999999</v>
      </c>
      <c r="Y54" s="157">
        <v>77863.111000000004</v>
      </c>
      <c r="Z54" s="157">
        <v>82676.873999999996</v>
      </c>
      <c r="AA54" s="157">
        <v>131433.24299999999</v>
      </c>
      <c r="AB54" s="157">
        <v>154766.37299999999</v>
      </c>
      <c r="AC54" s="157">
        <v>167500</v>
      </c>
      <c r="AD54" s="1">
        <v>169860.55799999999</v>
      </c>
      <c r="AE54" s="1">
        <v>181504.54800000001</v>
      </c>
      <c r="AF54" s="1">
        <v>180320.62599999999</v>
      </c>
      <c r="AG54" s="1">
        <v>180002.11900000001</v>
      </c>
      <c r="AH54" s="1">
        <v>174044.16500000001</v>
      </c>
      <c r="AI54" s="1">
        <v>175771.66699999999</v>
      </c>
      <c r="AK54" s="1">
        <v>202694.217</v>
      </c>
    </row>
    <row r="55" spans="1:37" ht="12.75" customHeight="1">
      <c r="A55" s="1" t="s">
        <v>66</v>
      </c>
      <c r="J55" s="157">
        <v>8218.5139999999992</v>
      </c>
      <c r="M55" s="1">
        <v>11565.53</v>
      </c>
      <c r="O55" s="1">
        <v>15427.539000000001</v>
      </c>
      <c r="R55" s="20">
        <v>14991.642</v>
      </c>
      <c r="S55" s="1">
        <v>15131.206</v>
      </c>
      <c r="T55" s="1">
        <v>17711.744999999999</v>
      </c>
      <c r="U55" s="1">
        <v>13685.972</v>
      </c>
      <c r="V55" s="1">
        <v>15884.816000000001</v>
      </c>
      <c r="W55" s="157">
        <v>25695.113000000001</v>
      </c>
      <c r="X55" s="157">
        <v>17510.377</v>
      </c>
      <c r="Y55" s="157">
        <v>18560.422999999999</v>
      </c>
      <c r="Z55" s="157">
        <v>19373.527999999998</v>
      </c>
      <c r="AA55" s="157">
        <v>37377.027000000002</v>
      </c>
      <c r="AB55" s="157">
        <v>40402.502999999997</v>
      </c>
      <c r="AC55" s="157">
        <v>41238</v>
      </c>
      <c r="AD55" s="1">
        <v>42862.887999999999</v>
      </c>
      <c r="AE55" s="1">
        <v>47975.962</v>
      </c>
      <c r="AF55" s="1">
        <v>48023.593000000001</v>
      </c>
      <c r="AG55" s="1">
        <v>47826.464</v>
      </c>
      <c r="AH55" s="1">
        <v>41831.985000000001</v>
      </c>
      <c r="AI55" s="1">
        <v>43009.201999999997</v>
      </c>
      <c r="AK55" s="1">
        <v>54825.474000000002</v>
      </c>
    </row>
    <row r="56" spans="1:37" ht="12.75" customHeight="1">
      <c r="A56" s="1" t="s">
        <v>67</v>
      </c>
      <c r="J56" s="157">
        <v>107033.21</v>
      </c>
      <c r="M56" s="1">
        <v>121573.179</v>
      </c>
      <c r="O56" s="1">
        <v>145645.84099999999</v>
      </c>
      <c r="R56" s="20">
        <v>122927.361</v>
      </c>
      <c r="S56" s="1">
        <v>128472.44100000001</v>
      </c>
      <c r="T56" s="1">
        <v>131027.671</v>
      </c>
      <c r="U56" s="1">
        <v>127520.40300000001</v>
      </c>
      <c r="V56" s="1">
        <v>146857.77100000001</v>
      </c>
      <c r="W56" s="157">
        <v>206650.405</v>
      </c>
      <c r="X56" s="157">
        <v>155102.943</v>
      </c>
      <c r="Y56" s="157">
        <v>164239.03700000001</v>
      </c>
      <c r="Z56" s="157">
        <v>174832.05499999999</v>
      </c>
      <c r="AA56" s="157">
        <v>262388.511</v>
      </c>
      <c r="AB56" s="157">
        <v>314541.19199999998</v>
      </c>
      <c r="AC56" s="157">
        <v>342858</v>
      </c>
      <c r="AD56" s="1">
        <v>364283.196</v>
      </c>
      <c r="AE56" s="1">
        <v>374838.04499999998</v>
      </c>
      <c r="AF56" s="1">
        <v>369340.18599999999</v>
      </c>
      <c r="AG56" s="1">
        <v>371358.201</v>
      </c>
      <c r="AH56" s="1">
        <v>378752.43099999998</v>
      </c>
      <c r="AI56" s="1">
        <v>383845.09299999999</v>
      </c>
      <c r="AK56" s="1">
        <v>423303.908</v>
      </c>
    </row>
    <row r="57" spans="1:37" ht="12.75" customHeight="1">
      <c r="A57" s="1" t="s">
        <v>68</v>
      </c>
      <c r="J57" s="157">
        <v>12732.897999999999</v>
      </c>
      <c r="M57" s="1">
        <v>19549.353999999999</v>
      </c>
      <c r="O57" s="1">
        <v>29810.279689999999</v>
      </c>
      <c r="R57" s="27">
        <v>21557.473999999998</v>
      </c>
      <c r="S57" s="1">
        <v>23274.726999999999</v>
      </c>
      <c r="T57" s="1">
        <v>25340.102999999999</v>
      </c>
      <c r="U57" s="1">
        <v>30915.546999999999</v>
      </c>
      <c r="V57" s="1">
        <v>32952.283000000003</v>
      </c>
      <c r="W57" s="157">
        <v>36701.947</v>
      </c>
      <c r="X57" s="157">
        <v>32773.582999999999</v>
      </c>
      <c r="Y57" s="157">
        <v>41556.993000000002</v>
      </c>
      <c r="Z57" s="157">
        <v>42825.951999999997</v>
      </c>
      <c r="AA57" s="157">
        <v>50503.618999999999</v>
      </c>
      <c r="AB57" s="157">
        <v>53396.303999999996</v>
      </c>
      <c r="AC57" s="157">
        <v>61131</v>
      </c>
      <c r="AD57" s="1">
        <v>65004.322</v>
      </c>
      <c r="AE57" s="1">
        <v>71470.462</v>
      </c>
      <c r="AF57" s="1">
        <v>66520.673999999999</v>
      </c>
      <c r="AG57" s="1">
        <v>63467.58</v>
      </c>
      <c r="AH57" s="1">
        <v>66465.578999999998</v>
      </c>
      <c r="AI57" s="1">
        <v>64396.991000000002</v>
      </c>
      <c r="AK57" s="1">
        <v>82579.877999999997</v>
      </c>
    </row>
    <row r="58" spans="1:37" ht="12.75" customHeight="1">
      <c r="A58" s="1" t="s">
        <v>69</v>
      </c>
      <c r="J58" s="157">
        <v>161440.514</v>
      </c>
      <c r="M58" s="1">
        <v>197263.23800000001</v>
      </c>
      <c r="O58" s="1">
        <v>255803.45800000001</v>
      </c>
      <c r="R58" s="27">
        <v>227335.33600000001</v>
      </c>
      <c r="S58" s="1">
        <v>238370.106</v>
      </c>
      <c r="T58" s="1">
        <v>276594.39899999998</v>
      </c>
      <c r="U58" s="1">
        <v>238741.198</v>
      </c>
      <c r="V58" s="1">
        <v>262876.78200000001</v>
      </c>
      <c r="W58" s="157">
        <v>372447.29700000002</v>
      </c>
      <c r="X58" s="157">
        <v>302247.50400000002</v>
      </c>
      <c r="Y58" s="157">
        <v>330007.53899999999</v>
      </c>
      <c r="Z58" s="157">
        <v>352725.88199999998</v>
      </c>
      <c r="AA58" s="157">
        <v>516359.08899999998</v>
      </c>
      <c r="AB58" s="157">
        <v>620877.29500000004</v>
      </c>
      <c r="AC58" s="157">
        <v>646914</v>
      </c>
      <c r="AD58" s="1">
        <v>657337.18599999999</v>
      </c>
      <c r="AE58" s="1">
        <v>653251.83600000001</v>
      </c>
      <c r="AF58" s="1">
        <v>652320.71699999995</v>
      </c>
      <c r="AG58" s="1">
        <v>650483.02</v>
      </c>
      <c r="AH58" s="1">
        <v>647894.22900000005</v>
      </c>
      <c r="AI58" s="1">
        <v>624820.39300000004</v>
      </c>
      <c r="AK58" s="1">
        <v>686799.20600000001</v>
      </c>
    </row>
    <row r="59" spans="1:37" ht="12.75" customHeight="1">
      <c r="A59" s="1" t="s">
        <v>70</v>
      </c>
      <c r="J59" s="157">
        <v>308450.79800000001</v>
      </c>
      <c r="M59" s="1">
        <v>390431.85800000001</v>
      </c>
      <c r="O59" s="1">
        <v>629568.40099999995</v>
      </c>
      <c r="R59" s="27">
        <v>428535.15600000002</v>
      </c>
      <c r="S59" s="1">
        <v>514062.01299999998</v>
      </c>
      <c r="T59" s="1">
        <v>560830.46</v>
      </c>
      <c r="U59" s="1">
        <v>406480.24400000001</v>
      </c>
      <c r="V59" s="1">
        <v>431108.46299999999</v>
      </c>
      <c r="W59" s="157">
        <v>717297.17799999996</v>
      </c>
      <c r="X59" s="157">
        <v>499442.45400000003</v>
      </c>
      <c r="Y59" s="157">
        <v>517697.53</v>
      </c>
      <c r="Z59" s="157">
        <v>547656.70900000003</v>
      </c>
      <c r="AA59" s="157">
        <v>906861.63</v>
      </c>
      <c r="AB59" s="157">
        <v>1027639.107</v>
      </c>
      <c r="AC59" s="157">
        <v>1077493</v>
      </c>
      <c r="AD59" s="1">
        <v>1145802.0630000001</v>
      </c>
      <c r="AE59" s="1">
        <v>1200986.68</v>
      </c>
      <c r="AF59" s="1">
        <v>1230639.365</v>
      </c>
      <c r="AG59" s="1">
        <v>1251410.2990000001</v>
      </c>
      <c r="AH59" s="1">
        <v>1230145.6459999999</v>
      </c>
      <c r="AI59" s="1">
        <v>1221078.82</v>
      </c>
      <c r="AK59" s="1">
        <v>1470702.9469999999</v>
      </c>
    </row>
    <row r="60" spans="1:37" ht="12.75" customHeight="1">
      <c r="A60" s="1" t="s">
        <v>71</v>
      </c>
      <c r="J60" s="157">
        <v>134322.45199999999</v>
      </c>
      <c r="M60" s="1">
        <v>150106.29999999999</v>
      </c>
      <c r="O60" s="1">
        <v>203342.46831</v>
      </c>
      <c r="R60" s="20">
        <v>181753.04500000001</v>
      </c>
      <c r="S60" s="1">
        <v>193993.364</v>
      </c>
      <c r="T60" s="1">
        <v>220074.679</v>
      </c>
      <c r="U60" s="1">
        <v>208862.136</v>
      </c>
      <c r="V60" s="1">
        <v>232042.72</v>
      </c>
      <c r="W60" s="157">
        <v>301551.58199999999</v>
      </c>
      <c r="X60" s="157">
        <v>269247.196</v>
      </c>
      <c r="Y60" s="157">
        <v>284129.58</v>
      </c>
      <c r="Z60" s="157">
        <v>307474.462</v>
      </c>
      <c r="AA60" s="157">
        <v>416145.64199999999</v>
      </c>
      <c r="AB60" s="157">
        <v>481364.10399999999</v>
      </c>
      <c r="AC60" s="157">
        <v>500402</v>
      </c>
      <c r="AD60" s="1">
        <v>514505.99599999998</v>
      </c>
      <c r="AE60" s="1">
        <v>517074.23200000002</v>
      </c>
      <c r="AF60" s="1">
        <v>518941.21500000003</v>
      </c>
      <c r="AG60" s="1">
        <v>518037.67300000001</v>
      </c>
      <c r="AH60" s="1">
        <v>515072.89600000001</v>
      </c>
      <c r="AI60" s="1">
        <v>528129.71200000006</v>
      </c>
      <c r="AK60" s="1">
        <v>626861.61300000001</v>
      </c>
    </row>
    <row r="61" spans="1:37" ht="12.75" customHeight="1">
      <c r="A61" s="1" t="s">
        <v>72</v>
      </c>
      <c r="J61" s="157">
        <v>17002.288</v>
      </c>
      <c r="M61" s="1">
        <v>18955.266</v>
      </c>
      <c r="O61" s="1">
        <v>23173.539000000001</v>
      </c>
      <c r="R61" s="20">
        <v>19170.609</v>
      </c>
      <c r="S61" s="1">
        <v>20274.240000000002</v>
      </c>
      <c r="T61" s="1">
        <v>21753.453000000001</v>
      </c>
      <c r="U61" s="1">
        <v>19274.587</v>
      </c>
      <c r="V61" s="1">
        <v>20756.797999999999</v>
      </c>
      <c r="W61" s="157">
        <v>28366.582999999999</v>
      </c>
      <c r="X61" s="157">
        <v>23019.379000000001</v>
      </c>
      <c r="Y61" s="157">
        <v>26169.082999999999</v>
      </c>
      <c r="Z61" s="157">
        <v>29262.144</v>
      </c>
      <c r="AA61" s="157">
        <v>42866.491000000002</v>
      </c>
      <c r="AB61" s="157">
        <v>46762.752</v>
      </c>
      <c r="AC61" s="157">
        <v>51019</v>
      </c>
      <c r="AD61" s="1">
        <v>52471.819000000003</v>
      </c>
      <c r="AE61" s="1">
        <v>54433.485000000001</v>
      </c>
      <c r="AF61" s="1">
        <v>53031.476000000002</v>
      </c>
      <c r="AG61" s="1">
        <v>51697.93</v>
      </c>
      <c r="AH61" s="1">
        <v>52100.123</v>
      </c>
      <c r="AI61" s="1">
        <v>50165.572999999997</v>
      </c>
      <c r="AK61" s="1">
        <v>61296.396999999997</v>
      </c>
    </row>
    <row r="62" spans="1:37" ht="12.75" customHeight="1">
      <c r="A62" s="30" t="s">
        <v>73</v>
      </c>
      <c r="B62" s="30"/>
      <c r="C62" s="30"/>
      <c r="D62" s="30"/>
      <c r="E62" s="30"/>
      <c r="F62" s="30"/>
      <c r="G62" s="30"/>
      <c r="H62" s="30"/>
      <c r="I62" s="30"/>
      <c r="J62" s="158">
        <v>7472.22</v>
      </c>
      <c r="K62" s="30"/>
      <c r="L62" s="30"/>
      <c r="M62" s="30">
        <v>6468.8519999999999</v>
      </c>
      <c r="N62" s="30"/>
      <c r="O62" s="30">
        <v>9819.143</v>
      </c>
      <c r="P62" s="30"/>
      <c r="Q62" s="30"/>
      <c r="R62" s="40">
        <v>8791.6810000000005</v>
      </c>
      <c r="S62" s="30">
        <v>9877.232</v>
      </c>
      <c r="T62" s="30">
        <v>10563.571</v>
      </c>
      <c r="U62" s="30">
        <v>9416.1720000000005</v>
      </c>
      <c r="V62" s="30">
        <v>10501.195</v>
      </c>
      <c r="W62" s="158">
        <v>14462.272000000001</v>
      </c>
      <c r="X62" s="158">
        <v>12888.674000000001</v>
      </c>
      <c r="Y62" s="158">
        <v>14220.924999999999</v>
      </c>
      <c r="Z62" s="158">
        <v>14757.483</v>
      </c>
      <c r="AA62" s="158">
        <v>37192.879999999997</v>
      </c>
      <c r="AB62" s="158">
        <v>23647.275000000001</v>
      </c>
      <c r="AC62" s="158">
        <v>25286</v>
      </c>
      <c r="AD62" s="30">
        <v>25507.081999999999</v>
      </c>
      <c r="AE62" s="30">
        <v>46249.144</v>
      </c>
      <c r="AF62" s="30">
        <v>45893.04</v>
      </c>
      <c r="AG62" s="30">
        <v>46528.004000000001</v>
      </c>
      <c r="AH62" s="30">
        <v>24548.539000000001</v>
      </c>
      <c r="AI62" s="30">
        <v>22211.707999999999</v>
      </c>
      <c r="AJ62" s="30"/>
      <c r="AK62" s="30">
        <v>24132.071</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v>0</v>
      </c>
      <c r="AB63" s="159">
        <v>0</v>
      </c>
      <c r="AC63" s="159">
        <v>0</v>
      </c>
      <c r="AD63" s="30"/>
      <c r="AE63" s="30"/>
      <c r="AF63" s="30"/>
      <c r="AG63" s="30"/>
      <c r="AH63" s="30"/>
      <c r="AI63" s="30"/>
      <c r="AJ63" s="30"/>
      <c r="AK63" s="30"/>
    </row>
    <row r="64" spans="1:37" ht="12.75" customHeight="1"/>
    <row r="65" spans="1:29" ht="12.75" customHeight="1"/>
    <row r="66" spans="1:29" ht="12.75" customHeight="1">
      <c r="A66" s="1" t="s">
        <v>97</v>
      </c>
      <c r="B66" s="1" t="s">
        <v>89</v>
      </c>
      <c r="I66" s="1" t="s">
        <v>98</v>
      </c>
      <c r="J66" s="1" t="s">
        <v>99</v>
      </c>
      <c r="M66" s="34" t="s">
        <v>100</v>
      </c>
      <c r="N66" s="21" t="s">
        <v>101</v>
      </c>
      <c r="O66" s="1" t="s">
        <v>102</v>
      </c>
      <c r="R66" s="1" t="s">
        <v>102</v>
      </c>
      <c r="U66" s="34" t="s">
        <v>100</v>
      </c>
      <c r="V66" s="34" t="s">
        <v>100</v>
      </c>
      <c r="W66" s="34" t="s">
        <v>100</v>
      </c>
      <c r="X66" s="34" t="s">
        <v>100</v>
      </c>
      <c r="Y66" s="34"/>
      <c r="Z66" s="34"/>
      <c r="AA66" s="34"/>
      <c r="AB66" s="34"/>
      <c r="AC66" s="34"/>
    </row>
    <row r="67" spans="1:29" ht="12.75" customHeight="1">
      <c r="A67" s="1" t="s">
        <v>103</v>
      </c>
      <c r="B67" s="1" t="s">
        <v>98</v>
      </c>
      <c r="I67" s="1" t="s">
        <v>104</v>
      </c>
      <c r="J67" s="1" t="s">
        <v>105</v>
      </c>
      <c r="M67" s="1" t="s">
        <v>106</v>
      </c>
      <c r="N67" s="1" t="s">
        <v>107</v>
      </c>
      <c r="O67" s="1" t="s">
        <v>108</v>
      </c>
      <c r="R67" s="1" t="s">
        <v>109</v>
      </c>
      <c r="U67" s="1" t="s">
        <v>106</v>
      </c>
      <c r="V67" s="1" t="s">
        <v>106</v>
      </c>
      <c r="W67" s="1" t="s">
        <v>106</v>
      </c>
      <c r="X67" s="1" t="s">
        <v>106</v>
      </c>
      <c r="Y67" s="1"/>
      <c r="Z67" s="1"/>
      <c r="AA67" s="1"/>
      <c r="AB67" s="1"/>
      <c r="AC67" s="1"/>
    </row>
    <row r="68" spans="1:29" ht="12.75" customHeight="1">
      <c r="A68" s="1" t="s">
        <v>110</v>
      </c>
      <c r="B68" s="1" t="s">
        <v>104</v>
      </c>
      <c r="I68" s="1" t="s">
        <v>111</v>
      </c>
      <c r="J68" s="1" t="s">
        <v>112</v>
      </c>
      <c r="M68" s="1" t="s">
        <v>113</v>
      </c>
      <c r="N68" s="1" t="s">
        <v>114</v>
      </c>
      <c r="U68" s="1" t="s">
        <v>113</v>
      </c>
      <c r="V68" s="1" t="s">
        <v>113</v>
      </c>
      <c r="W68" s="1" t="s">
        <v>113</v>
      </c>
      <c r="X68" s="1" t="s">
        <v>113</v>
      </c>
      <c r="Y68" s="1"/>
      <c r="Z68" s="1"/>
      <c r="AA68" s="1"/>
      <c r="AB68" s="1"/>
      <c r="AC68" s="1"/>
    </row>
    <row r="69" spans="1:29" ht="12.75" customHeight="1">
      <c r="A69" s="1" t="s">
        <v>7</v>
      </c>
      <c r="B69" s="1" t="s">
        <v>111</v>
      </c>
      <c r="I69" s="1" t="s">
        <v>115</v>
      </c>
      <c r="M69" s="41"/>
      <c r="N69" s="41"/>
    </row>
    <row r="70" spans="1:29" ht="12.75" customHeight="1">
      <c r="A70" s="1" t="s">
        <v>116</v>
      </c>
      <c r="B70" s="1" t="s">
        <v>115</v>
      </c>
      <c r="I70" s="1" t="s">
        <v>117</v>
      </c>
    </row>
    <row r="71" spans="1:29" ht="12.75" customHeight="1">
      <c r="A71" s="1" t="s">
        <v>10</v>
      </c>
      <c r="B71" s="1" t="s">
        <v>117</v>
      </c>
      <c r="I71" s="1" t="s">
        <v>118</v>
      </c>
    </row>
    <row r="72" spans="1:29" ht="12.75" customHeight="1">
      <c r="A72" s="1" t="s">
        <v>119</v>
      </c>
      <c r="B72" s="1" t="s">
        <v>118</v>
      </c>
      <c r="I72" s="1" t="s">
        <v>120</v>
      </c>
    </row>
    <row r="73" spans="1:29" ht="12.75" customHeight="1">
      <c r="A73" s="1" t="s">
        <v>121</v>
      </c>
      <c r="B73" s="1" t="s">
        <v>120</v>
      </c>
      <c r="I73" s="1" t="s">
        <v>122</v>
      </c>
    </row>
    <row r="74" spans="1:29" ht="12.75" customHeight="1">
      <c r="A74" s="1" t="s">
        <v>123</v>
      </c>
      <c r="B74" s="1" t="s">
        <v>122</v>
      </c>
      <c r="I74" s="1" t="s">
        <v>124</v>
      </c>
    </row>
    <row r="75" spans="1:29" ht="12.75" customHeight="1">
      <c r="A75" s="1" t="s">
        <v>125</v>
      </c>
      <c r="B75" s="1" t="s">
        <v>124</v>
      </c>
      <c r="I75" s="1" t="s">
        <v>126</v>
      </c>
    </row>
    <row r="76" spans="1:29" ht="12.75" customHeight="1">
      <c r="A76" s="1" t="s">
        <v>127</v>
      </c>
      <c r="B76" s="1" t="s">
        <v>126</v>
      </c>
      <c r="I76" s="1" t="s">
        <v>128</v>
      </c>
    </row>
    <row r="77" spans="1:29" ht="12.75" customHeight="1">
      <c r="A77" s="1" t="s">
        <v>129</v>
      </c>
      <c r="B77" s="1" t="s">
        <v>130</v>
      </c>
      <c r="I77" s="1" t="s">
        <v>131</v>
      </c>
    </row>
    <row r="78" spans="1:29" ht="12.75" customHeight="1">
      <c r="A78" s="1" t="s">
        <v>132</v>
      </c>
      <c r="B78" s="1" t="s">
        <v>131</v>
      </c>
      <c r="I78" s="1" t="s">
        <v>133</v>
      </c>
    </row>
    <row r="79" spans="1:29" ht="12.75" customHeight="1">
      <c r="A79" s="1" t="s">
        <v>134</v>
      </c>
      <c r="B79" s="1" t="s">
        <v>135</v>
      </c>
    </row>
    <row r="80" spans="1:29" ht="12.75" customHeight="1">
      <c r="A80" s="1" t="s">
        <v>136</v>
      </c>
    </row>
    <row r="81" spans="1:210" ht="9.9499999999999993" customHeight="1">
      <c r="A81" s="1" t="s">
        <v>137</v>
      </c>
    </row>
    <row r="82" spans="1:210" ht="9.9499999999999993" customHeight="1">
      <c r="A82" s="1" t="s">
        <v>138</v>
      </c>
      <c r="GT82" s="4"/>
      <c r="GU82" s="4"/>
      <c r="GV82" s="4"/>
      <c r="GW82" s="4"/>
      <c r="GX82" s="4"/>
      <c r="GY82" s="4"/>
      <c r="GZ82" s="4"/>
      <c r="HA82" s="4"/>
      <c r="HB82" s="4"/>
    </row>
    <row r="83" spans="1:210">
      <c r="A83" s="1" t="s">
        <v>10</v>
      </c>
      <c r="GR83" s="4"/>
      <c r="GS83" s="4"/>
      <c r="GT83" s="4"/>
      <c r="GU83" s="4"/>
      <c r="GV83" s="4"/>
      <c r="GW83" s="4"/>
      <c r="GX83" s="4"/>
      <c r="GY83" s="4"/>
      <c r="GZ83" s="4"/>
      <c r="HA83" s="4"/>
      <c r="HB83" s="4"/>
    </row>
    <row r="84" spans="1:210">
      <c r="A84" s="1" t="s">
        <v>139</v>
      </c>
      <c r="GR84" s="4"/>
      <c r="GS84" s="4"/>
      <c r="GT84" s="4"/>
      <c r="GU84" s="4"/>
      <c r="GV84" s="4"/>
      <c r="GW84" s="4"/>
      <c r="GX84" s="4"/>
      <c r="GY84" s="4"/>
      <c r="GZ84" s="4"/>
      <c r="HA84" s="4"/>
      <c r="HB84" s="4"/>
    </row>
    <row r="85" spans="1:210">
      <c r="A85" s="1" t="s">
        <v>140</v>
      </c>
      <c r="GT85" s="4"/>
      <c r="GU85" s="4"/>
      <c r="GV85" s="4"/>
      <c r="GW85" s="4"/>
      <c r="GX85" s="4"/>
      <c r="GY85" s="4"/>
      <c r="GZ85" s="4"/>
    </row>
    <row r="86" spans="1:210">
      <c r="GT86" s="4"/>
      <c r="GU86" s="4"/>
      <c r="GV86" s="4"/>
      <c r="GW86" s="4"/>
      <c r="GX86" s="4"/>
      <c r="GY86" s="4"/>
      <c r="GZ86" s="4"/>
    </row>
    <row r="87" spans="1:210">
      <c r="GT87" s="4"/>
      <c r="GU87" s="4"/>
      <c r="GV87" s="4"/>
      <c r="GW87" s="4"/>
      <c r="GX87" s="4"/>
      <c r="GY87" s="4"/>
      <c r="GZ87" s="4"/>
    </row>
    <row r="92" spans="1: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8"/>
  </sheetPr>
  <dimension ref="A1:HB92"/>
  <sheetViews>
    <sheetView zoomScaleNormal="100" workbookViewId="0">
      <pane xSplit="1" ySplit="3" topLeftCell="AB4" activePane="bottomRight" state="frozen"/>
      <selection pane="topRight" activeCell="O44" sqref="O44"/>
      <selection pane="bottomLeft" activeCell="O44" sqref="O44"/>
      <selection pane="bottomRight" activeCell="AK7" sqref="AK7:AK22"/>
    </sheetView>
  </sheetViews>
  <sheetFormatPr defaultColWidth="9.7109375" defaultRowHeight="12.75"/>
  <cols>
    <col min="1" max="1" width="19.5703125" style="1" bestFit="1" customWidth="1"/>
    <col min="2" max="22" width="13.85546875" style="1" customWidth="1"/>
    <col min="23" max="29" width="13.85546875" style="10" customWidth="1"/>
    <col min="30" max="31" width="10.140625" style="1" bestFit="1" customWidth="1"/>
    <col min="32"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142</v>
      </c>
      <c r="B2" s="11"/>
      <c r="C2" s="11"/>
      <c r="D2" s="11"/>
      <c r="E2" s="11"/>
      <c r="F2" s="11"/>
      <c r="G2" s="11"/>
      <c r="H2" s="11"/>
      <c r="I2" s="11"/>
      <c r="J2" s="11"/>
      <c r="K2" s="11"/>
      <c r="L2" s="11"/>
    </row>
    <row r="3" spans="1:39">
      <c r="B3" s="43">
        <v>1984</v>
      </c>
      <c r="C3" s="43">
        <v>1985</v>
      </c>
      <c r="D3" s="43" t="s">
        <v>143</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t="s">
        <v>144</v>
      </c>
      <c r="T3" s="50" t="s">
        <v>145</v>
      </c>
      <c r="U3" s="31" t="s">
        <v>146</v>
      </c>
      <c r="V3" s="31" t="s">
        <v>147</v>
      </c>
      <c r="W3" s="31" t="s">
        <v>148</v>
      </c>
      <c r="X3" s="31" t="s">
        <v>149</v>
      </c>
      <c r="Y3" s="31" t="s">
        <v>150</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1">
        <v>4537533</v>
      </c>
      <c r="C4" s="1">
        <v>4904241</v>
      </c>
      <c r="D4" s="1">
        <v>5310845</v>
      </c>
      <c r="I4" s="1">
        <v>7187532.2759999996</v>
      </c>
      <c r="J4" s="59">
        <f>+J5+J23+J38+J52+J63</f>
        <v>7314497.0140000004</v>
      </c>
      <c r="K4" s="42">
        <v>7725636.3669999996</v>
      </c>
      <c r="L4" s="42">
        <v>7746930.9330000002</v>
      </c>
      <c r="M4" s="59">
        <f>+M5+M23+M38+M52+M63</f>
        <v>7812713.7759999996</v>
      </c>
      <c r="N4" s="42">
        <v>8370395.4589999998</v>
      </c>
      <c r="O4" s="59">
        <f>+O5+O23+O38+O52+O63</f>
        <v>8862560.1203000005</v>
      </c>
      <c r="R4" s="59">
        <f t="shared" ref="R4:AA4" si="0">+R5+R23+R38+R52+R63</f>
        <v>10206406.172</v>
      </c>
      <c r="S4" s="59">
        <f t="shared" si="0"/>
        <v>11209292.739</v>
      </c>
      <c r="T4" s="59">
        <f t="shared" si="0"/>
        <v>10829765.460999999</v>
      </c>
      <c r="U4" s="59">
        <f t="shared" si="0"/>
        <v>10450588.353000002</v>
      </c>
      <c r="V4" s="59">
        <f t="shared" si="0"/>
        <v>10387816.403000001</v>
      </c>
      <c r="W4" s="59">
        <f t="shared" si="0"/>
        <v>11805226.380999999</v>
      </c>
      <c r="X4" s="59">
        <f t="shared" si="0"/>
        <v>12770814.723999999</v>
      </c>
      <c r="Y4" s="59">
        <f t="shared" si="0"/>
        <v>13798052.59</v>
      </c>
      <c r="Z4" s="59">
        <f t="shared" si="0"/>
        <v>14979345.662999999</v>
      </c>
      <c r="AA4" s="59">
        <f t="shared" si="0"/>
        <v>15007221.460999997</v>
      </c>
      <c r="AB4" s="59">
        <f t="shared" ref="AB4:AC4" si="1">+AB5+AB23+AB38+AB52+AB63</f>
        <v>14494578.248</v>
      </c>
      <c r="AC4" s="59">
        <f t="shared" si="1"/>
        <v>14958619</v>
      </c>
      <c r="AD4" s="59">
        <f t="shared" ref="AD4:AE4" si="2">+AD5+AD23+AD38+AD52+AD63</f>
        <v>14114681.317000002</v>
      </c>
      <c r="AE4" s="59">
        <f t="shared" si="2"/>
        <v>14086167.488000002</v>
      </c>
      <c r="AF4" s="59">
        <f t="shared" ref="AF4" si="3">+AF5+AF23+AF38+AF52+AF63</f>
        <v>13325721.373</v>
      </c>
      <c r="AG4" s="59">
        <f t="shared" ref="AG4:AI4" si="4">+AG5+AG23+AG38+AG52+AG63</f>
        <v>13577765.482000001</v>
      </c>
      <c r="AH4" s="59">
        <f t="shared" si="4"/>
        <v>16396480.670999998</v>
      </c>
      <c r="AI4" s="59">
        <f t="shared" si="4"/>
        <v>15984802.745999999</v>
      </c>
      <c r="AJ4" s="59">
        <f t="shared" ref="AJ4:AK4" si="5">+AJ5+AJ23+AJ38+AJ52+AJ63</f>
        <v>0</v>
      </c>
      <c r="AK4" s="59">
        <f t="shared" si="5"/>
        <v>17243088.675999999</v>
      </c>
    </row>
    <row r="5" spans="1:39" ht="12.75" customHeight="1">
      <c r="A5" s="1" t="s">
        <v>20</v>
      </c>
      <c r="B5" s="58">
        <f t="shared" ref="B5:AA5" si="6">SUM(B7:B22)</f>
        <v>1637632</v>
      </c>
      <c r="C5" s="58">
        <f t="shared" si="6"/>
        <v>1801552</v>
      </c>
      <c r="D5" s="58">
        <f t="shared" si="6"/>
        <v>1916039</v>
      </c>
      <c r="E5" s="58">
        <f t="shared" si="6"/>
        <v>0</v>
      </c>
      <c r="F5" s="58">
        <f t="shared" si="6"/>
        <v>0</v>
      </c>
      <c r="G5" s="58">
        <f t="shared" si="6"/>
        <v>0</v>
      </c>
      <c r="H5" s="58">
        <f t="shared" si="6"/>
        <v>0</v>
      </c>
      <c r="I5" s="58">
        <f t="shared" si="6"/>
        <v>2656350.7159999995</v>
      </c>
      <c r="J5" s="58">
        <f t="shared" si="6"/>
        <v>2652717.3999999994</v>
      </c>
      <c r="K5" s="58">
        <f t="shared" si="6"/>
        <v>2814461.389</v>
      </c>
      <c r="L5" s="58">
        <f t="shared" si="6"/>
        <v>3043547.9950000001</v>
      </c>
      <c r="M5" s="58">
        <f t="shared" si="6"/>
        <v>3224505.9749999996</v>
      </c>
      <c r="N5" s="58">
        <f t="shared" si="6"/>
        <v>3338493.227</v>
      </c>
      <c r="O5" s="58">
        <f t="shared" si="6"/>
        <v>3511825.6950999997</v>
      </c>
      <c r="P5" s="58">
        <f t="shared" si="6"/>
        <v>0</v>
      </c>
      <c r="Q5" s="58">
        <f t="shared" si="6"/>
        <v>0</v>
      </c>
      <c r="R5" s="58">
        <f t="shared" si="6"/>
        <v>4337939.9819999998</v>
      </c>
      <c r="S5" s="58">
        <f t="shared" si="6"/>
        <v>4697471.7170000002</v>
      </c>
      <c r="T5" s="58">
        <f t="shared" si="6"/>
        <v>4302894.2309999997</v>
      </c>
      <c r="U5" s="58">
        <f t="shared" si="6"/>
        <v>4135132.4819999998</v>
      </c>
      <c r="V5" s="58">
        <f t="shared" si="6"/>
        <v>4170258.2910000007</v>
      </c>
      <c r="W5" s="58">
        <f t="shared" si="6"/>
        <v>4667966.8669999996</v>
      </c>
      <c r="X5" s="58">
        <f t="shared" si="6"/>
        <v>5062436.4329999993</v>
      </c>
      <c r="Y5" s="58">
        <f t="shared" si="6"/>
        <v>5531279.3149999995</v>
      </c>
      <c r="Z5" s="58">
        <f t="shared" si="6"/>
        <v>5938853.5269999988</v>
      </c>
      <c r="AA5" s="58">
        <f t="shared" si="6"/>
        <v>5595143.0579999993</v>
      </c>
      <c r="AB5" s="58">
        <f t="shared" ref="AB5:AC5" si="7">SUM(AB7:AB22)</f>
        <v>5631242.6770000001</v>
      </c>
      <c r="AC5" s="58">
        <f t="shared" si="7"/>
        <v>5790267</v>
      </c>
      <c r="AD5" s="58">
        <f t="shared" ref="AD5:AE5" si="8">SUM(AD7:AD22)</f>
        <v>5663165.4060000004</v>
      </c>
      <c r="AE5" s="58">
        <f t="shared" si="8"/>
        <v>5713665.2819999997</v>
      </c>
      <c r="AF5" s="58">
        <f t="shared" ref="AF5" si="9">SUM(AF7:AF22)</f>
        <v>5581646.3629999999</v>
      </c>
      <c r="AG5" s="58">
        <f t="shared" ref="AG5:AH5" si="10">SUM(AG7:AG22)</f>
        <v>5611380.9309999999</v>
      </c>
      <c r="AH5" s="58">
        <f t="shared" si="10"/>
        <v>6190523.4369999999</v>
      </c>
      <c r="AI5" s="58">
        <f>SUM(AI7:AI22)</f>
        <v>5933324.1270000003</v>
      </c>
      <c r="AJ5" s="58">
        <f t="shared" ref="AJ5:AK5" si="11">SUM(AJ7:AJ22)</f>
        <v>0</v>
      </c>
      <c r="AK5" s="58">
        <f t="shared" si="11"/>
        <v>6209955.9299999997</v>
      </c>
    </row>
    <row r="6" spans="1:39" ht="12.75" customHeight="1">
      <c r="A6" s="6" t="s">
        <v>94</v>
      </c>
      <c r="J6" s="157"/>
      <c r="R6" s="20"/>
      <c r="T6" s="51"/>
    </row>
    <row r="7" spans="1:39" ht="12.75" customHeight="1">
      <c r="A7" s="1" t="s">
        <v>21</v>
      </c>
      <c r="B7" s="1">
        <v>60205</v>
      </c>
      <c r="C7" s="1">
        <v>97664</v>
      </c>
      <c r="D7" s="1">
        <v>112452</v>
      </c>
      <c r="I7" s="1">
        <v>141408.68599999999</v>
      </c>
      <c r="J7" s="157">
        <v>146800.929</v>
      </c>
      <c r="K7" s="1">
        <v>154504.83300000001</v>
      </c>
      <c r="L7" s="1">
        <v>171378.69899999999</v>
      </c>
      <c r="M7" s="1">
        <v>186998.65</v>
      </c>
      <c r="N7" s="1">
        <v>189386.42300000001</v>
      </c>
      <c r="O7" s="1">
        <v>195496.00816999999</v>
      </c>
      <c r="R7" s="27">
        <v>218670.696</v>
      </c>
      <c r="S7" s="1">
        <v>224851.37400000001</v>
      </c>
      <c r="T7" s="51">
        <v>226192.878</v>
      </c>
      <c r="U7" s="1">
        <v>230965.80300000001</v>
      </c>
      <c r="V7" s="1">
        <v>232960.95199999999</v>
      </c>
      <c r="W7" s="157">
        <v>245655.122</v>
      </c>
      <c r="X7" s="157">
        <v>285012.28200000001</v>
      </c>
      <c r="Y7" s="157">
        <v>326693.22899999999</v>
      </c>
      <c r="Z7" s="157">
        <v>379863.02799999999</v>
      </c>
      <c r="AA7" s="157">
        <v>288398.99599999998</v>
      </c>
      <c r="AB7" s="157">
        <v>282036.745</v>
      </c>
      <c r="AC7" s="157">
        <v>280590</v>
      </c>
      <c r="AD7" s="1">
        <v>282802.10100000002</v>
      </c>
      <c r="AE7" s="1">
        <v>276870.43199999997</v>
      </c>
      <c r="AF7" s="1">
        <v>266177.30499999999</v>
      </c>
      <c r="AG7" s="1">
        <v>270268.06099999999</v>
      </c>
      <c r="AH7" s="1">
        <v>289827.815</v>
      </c>
      <c r="AI7" s="1">
        <v>286017.40399999998</v>
      </c>
      <c r="AK7" s="1">
        <v>297650.21500000003</v>
      </c>
    </row>
    <row r="8" spans="1:39" ht="12.75" customHeight="1">
      <c r="A8" s="1" t="s">
        <v>22</v>
      </c>
      <c r="B8" s="1">
        <v>19191</v>
      </c>
      <c r="C8" s="1">
        <v>24758</v>
      </c>
      <c r="D8" s="1">
        <v>25961</v>
      </c>
      <c r="I8" s="1">
        <v>33327.468000000001</v>
      </c>
      <c r="J8" s="157">
        <v>37616.618999999999</v>
      </c>
      <c r="K8" s="1">
        <v>45726.561000000002</v>
      </c>
      <c r="L8" s="1">
        <v>43922.502</v>
      </c>
      <c r="M8" s="1">
        <v>55192.389000000003</v>
      </c>
      <c r="N8" s="1">
        <v>75645.078999999998</v>
      </c>
      <c r="O8" s="1">
        <v>74156.466</v>
      </c>
      <c r="R8" s="27">
        <v>117095.70600000001</v>
      </c>
      <c r="S8" s="1">
        <v>117062.625</v>
      </c>
      <c r="T8" s="51">
        <v>112616.83199999999</v>
      </c>
      <c r="U8" s="1">
        <v>108249.52899999999</v>
      </c>
      <c r="V8" s="1">
        <v>122743.16800000001</v>
      </c>
      <c r="W8" s="157">
        <v>125350.43399999999</v>
      </c>
      <c r="X8" s="157">
        <v>138468.55600000001</v>
      </c>
      <c r="Y8" s="157">
        <v>166572.299</v>
      </c>
      <c r="Z8" s="157">
        <v>191084.56899999999</v>
      </c>
      <c r="AA8" s="157">
        <v>167148.87299999999</v>
      </c>
      <c r="AB8" s="157">
        <v>168196.84700000001</v>
      </c>
      <c r="AC8" s="157">
        <v>171774</v>
      </c>
      <c r="AD8" s="1">
        <v>173322.04699999999</v>
      </c>
      <c r="AE8" s="1">
        <v>174108.62599999999</v>
      </c>
      <c r="AF8" s="1">
        <v>177951.36600000001</v>
      </c>
      <c r="AG8" s="1">
        <v>176234.416</v>
      </c>
      <c r="AH8" s="1">
        <v>176125.916</v>
      </c>
      <c r="AI8" s="1">
        <v>176435.068</v>
      </c>
      <c r="AK8" s="1">
        <v>183504.315</v>
      </c>
    </row>
    <row r="9" spans="1:39" ht="12.75" customHeight="1">
      <c r="A9" s="1" t="s">
        <v>23</v>
      </c>
      <c r="D9" s="1">
        <v>18131</v>
      </c>
      <c r="I9" s="1">
        <v>31500.085999999999</v>
      </c>
      <c r="J9" s="157">
        <v>31424.400000000001</v>
      </c>
      <c r="M9" s="1">
        <v>36989.800000000003</v>
      </c>
      <c r="N9" s="1">
        <v>31074.14</v>
      </c>
      <c r="O9" s="1">
        <v>44352.601000000002</v>
      </c>
      <c r="R9" s="27">
        <v>49215.074999999997</v>
      </c>
      <c r="S9" s="38">
        <v>51837.457999999999</v>
      </c>
      <c r="T9" s="52">
        <v>51737</v>
      </c>
      <c r="U9" s="38">
        <v>52085.1</v>
      </c>
      <c r="V9" s="38">
        <v>51817.648999999998</v>
      </c>
      <c r="W9" s="157">
        <v>54126.635999999999</v>
      </c>
      <c r="X9" s="157">
        <v>58578.139000000003</v>
      </c>
      <c r="Y9" s="157">
        <v>64117.1</v>
      </c>
      <c r="Z9" s="157">
        <v>66862.5</v>
      </c>
      <c r="AA9" s="157">
        <v>56061.120999999999</v>
      </c>
      <c r="AB9" s="157">
        <v>57967.207000000002</v>
      </c>
      <c r="AC9" s="157">
        <v>62079</v>
      </c>
      <c r="AD9" s="1">
        <v>66651.403000000006</v>
      </c>
      <c r="AE9" s="1">
        <v>66677.198999999993</v>
      </c>
      <c r="AF9" s="1">
        <v>68443.941000000006</v>
      </c>
      <c r="AG9" s="1">
        <v>68443.941000000006</v>
      </c>
      <c r="AH9" s="1">
        <v>71592.899999999994</v>
      </c>
      <c r="AI9" s="1">
        <v>73680.3</v>
      </c>
      <c r="AK9" s="1">
        <v>76047.263000000006</v>
      </c>
    </row>
    <row r="10" spans="1:39" ht="12.75" customHeight="1">
      <c r="A10" s="1" t="s">
        <v>24</v>
      </c>
      <c r="B10" s="1">
        <v>324338</v>
      </c>
      <c r="C10" s="1">
        <v>338222</v>
      </c>
      <c r="D10" s="1">
        <v>354149</v>
      </c>
      <c r="I10" s="1">
        <v>571845.90899999999</v>
      </c>
      <c r="J10" s="157">
        <v>548497.64899999998</v>
      </c>
      <c r="K10" s="1">
        <v>564391.43099999998</v>
      </c>
      <c r="L10" s="1">
        <v>602956.28</v>
      </c>
      <c r="M10" s="1">
        <v>632627.53700000001</v>
      </c>
      <c r="N10" s="1">
        <v>649491.99199999997</v>
      </c>
      <c r="O10" s="1">
        <v>699173.52599999995</v>
      </c>
      <c r="R10" s="27">
        <v>813530.08600000001</v>
      </c>
      <c r="S10" s="1">
        <v>975362.70600000001</v>
      </c>
      <c r="T10" s="51">
        <v>802312.51899999997</v>
      </c>
      <c r="U10" s="1">
        <v>712028.53200000001</v>
      </c>
      <c r="V10" s="1">
        <v>689496.70200000005</v>
      </c>
      <c r="W10" s="157">
        <v>741016.06599999999</v>
      </c>
      <c r="X10" s="157">
        <v>784179.66899999999</v>
      </c>
      <c r="Y10" s="157">
        <v>950359.11899999995</v>
      </c>
      <c r="Z10" s="157">
        <v>939275.39899999998</v>
      </c>
      <c r="AA10" s="157">
        <v>1056251.4069999999</v>
      </c>
      <c r="AB10" s="157">
        <v>969689.64599999995</v>
      </c>
      <c r="AC10" s="157">
        <v>1037400</v>
      </c>
      <c r="AD10" s="1">
        <v>1029540.813</v>
      </c>
      <c r="AE10" s="1">
        <v>1057480.5959999999</v>
      </c>
      <c r="AF10" s="1">
        <v>1108266.571</v>
      </c>
      <c r="AG10" s="1">
        <v>1143463.0519999999</v>
      </c>
      <c r="AH10" s="1">
        <v>1258345.4839999999</v>
      </c>
      <c r="AI10" s="1">
        <v>1244878.57</v>
      </c>
      <c r="AK10" s="1">
        <v>1234027.773</v>
      </c>
    </row>
    <row r="11" spans="1:39" ht="12.75" customHeight="1">
      <c r="A11" s="1" t="s">
        <v>25</v>
      </c>
      <c r="B11" s="1">
        <v>52938</v>
      </c>
      <c r="C11" s="1">
        <v>56015</v>
      </c>
      <c r="D11" s="1">
        <v>58728</v>
      </c>
      <c r="I11" s="1">
        <v>155899.05499999999</v>
      </c>
      <c r="J11" s="157">
        <v>170744.22399999999</v>
      </c>
      <c r="K11" s="1">
        <v>195021.149</v>
      </c>
      <c r="L11" s="1">
        <v>227070.31599999999</v>
      </c>
      <c r="M11" s="1">
        <v>253856.88699999999</v>
      </c>
      <c r="N11" s="1">
        <v>208408.04500000001</v>
      </c>
      <c r="O11" s="1">
        <v>223911.12257000001</v>
      </c>
      <c r="R11" s="27">
        <v>366974.22499999998</v>
      </c>
      <c r="S11" s="1">
        <v>393424.48700000002</v>
      </c>
      <c r="T11" s="51">
        <v>410631.97</v>
      </c>
      <c r="U11" s="1">
        <v>379376.77100000001</v>
      </c>
      <c r="V11" s="1">
        <v>410919.21100000001</v>
      </c>
      <c r="W11" s="157">
        <v>430348.56300000002</v>
      </c>
      <c r="X11" s="157">
        <v>467285.17099999997</v>
      </c>
      <c r="Y11" s="157">
        <v>454336.103</v>
      </c>
      <c r="Z11" s="157">
        <v>488575.58799999999</v>
      </c>
      <c r="AA11" s="157">
        <v>210540.99299999999</v>
      </c>
      <c r="AB11" s="157">
        <v>403011.4</v>
      </c>
      <c r="AC11" s="157">
        <v>469785</v>
      </c>
      <c r="AD11" s="1">
        <v>474601.32</v>
      </c>
      <c r="AE11" s="1">
        <v>421034.34899999999</v>
      </c>
      <c r="AF11" s="1">
        <v>175956.16099999999</v>
      </c>
      <c r="AG11" s="1">
        <v>173396.783</v>
      </c>
      <c r="AH11" s="1">
        <v>435600.60600000003</v>
      </c>
      <c r="AI11" s="1">
        <v>132395.348</v>
      </c>
      <c r="AK11" s="1">
        <v>106330.548</v>
      </c>
    </row>
    <row r="12" spans="1:39" ht="12.75" customHeight="1">
      <c r="A12" s="1" t="s">
        <v>26</v>
      </c>
      <c r="B12" s="1">
        <v>28145</v>
      </c>
      <c r="C12" s="1">
        <v>29442</v>
      </c>
      <c r="D12" s="1">
        <v>31737</v>
      </c>
      <c r="I12" s="1">
        <v>58530.06</v>
      </c>
      <c r="J12" s="157">
        <v>68711.600000000006</v>
      </c>
      <c r="K12" s="1">
        <v>69650.225999999995</v>
      </c>
      <c r="L12" s="1">
        <v>71610.993000000002</v>
      </c>
      <c r="M12" s="1">
        <v>74300.646999999997</v>
      </c>
      <c r="N12" s="1">
        <v>76183.324999999997</v>
      </c>
      <c r="O12" s="1">
        <v>82609.5</v>
      </c>
      <c r="R12" s="20">
        <v>177852.38800000001</v>
      </c>
      <c r="S12" s="1">
        <v>181628.636</v>
      </c>
      <c r="T12" s="51">
        <v>8542.4</v>
      </c>
      <c r="U12" s="1">
        <v>9081.5</v>
      </c>
      <c r="V12" s="1">
        <v>9054.5</v>
      </c>
      <c r="W12" s="157">
        <v>135987.81099999999</v>
      </c>
      <c r="X12" s="157">
        <v>152980.51999999999</v>
      </c>
      <c r="Y12" s="157">
        <v>154969.46299999999</v>
      </c>
      <c r="Z12" s="157">
        <v>162563.62</v>
      </c>
      <c r="AA12" s="157">
        <v>146058.098</v>
      </c>
      <c r="AB12" s="157">
        <v>149242.71599999999</v>
      </c>
      <c r="AC12" s="157">
        <v>138450</v>
      </c>
      <c r="AD12" s="1">
        <v>156762.74</v>
      </c>
      <c r="AE12" s="1">
        <v>129862.194</v>
      </c>
      <c r="AF12" s="1">
        <v>116406.173</v>
      </c>
      <c r="AG12" s="1">
        <v>114413.549</v>
      </c>
      <c r="AH12" s="1">
        <v>125008.914</v>
      </c>
      <c r="AI12" s="1">
        <v>110956.485</v>
      </c>
      <c r="AK12" s="1">
        <v>153116.28700000001</v>
      </c>
    </row>
    <row r="13" spans="1:39" ht="12.75" customHeight="1">
      <c r="A13" s="1" t="s">
        <v>27</v>
      </c>
      <c r="B13" s="1">
        <v>23312</v>
      </c>
      <c r="C13" s="1">
        <v>25580</v>
      </c>
      <c r="D13" s="1">
        <v>26331</v>
      </c>
      <c r="I13" s="1">
        <v>33599.508000000002</v>
      </c>
      <c r="J13" s="157">
        <v>39990.722999999998</v>
      </c>
      <c r="K13" s="1">
        <v>40801.212</v>
      </c>
      <c r="L13" s="1">
        <v>40989.072</v>
      </c>
      <c r="M13" s="1">
        <v>44089.091999999997</v>
      </c>
      <c r="N13" s="1">
        <v>53444.55</v>
      </c>
      <c r="O13" s="1">
        <v>66626.520999999993</v>
      </c>
      <c r="R13" s="20">
        <v>118754.10400000001</v>
      </c>
      <c r="S13" s="1">
        <v>125175.95</v>
      </c>
      <c r="T13" s="51">
        <v>137177.821</v>
      </c>
      <c r="U13" s="1">
        <v>149820.69099999999</v>
      </c>
      <c r="V13" s="1">
        <v>160670.413</v>
      </c>
      <c r="W13" s="157">
        <v>164158.522</v>
      </c>
      <c r="X13" s="157">
        <v>156252.155</v>
      </c>
      <c r="Y13" s="157">
        <v>185724.99900000001</v>
      </c>
      <c r="Z13" s="157">
        <v>213985.117</v>
      </c>
      <c r="AA13" s="157">
        <v>130774.561</v>
      </c>
      <c r="AB13" s="157">
        <v>159686.83799999999</v>
      </c>
      <c r="AC13" s="157">
        <v>163246</v>
      </c>
      <c r="AD13" s="1">
        <v>150404.614</v>
      </c>
      <c r="AE13" s="1">
        <v>126833.51700000001</v>
      </c>
      <c r="AF13" s="1">
        <v>90272.244999999995</v>
      </c>
      <c r="AG13" s="1">
        <v>92263.523000000001</v>
      </c>
      <c r="AH13" s="1">
        <v>129906.867</v>
      </c>
      <c r="AI13" s="1">
        <v>90154.475000000006</v>
      </c>
      <c r="AK13" s="1">
        <v>96107.676999999996</v>
      </c>
    </row>
    <row r="14" spans="1:39" ht="12.75" customHeight="1">
      <c r="A14" s="1" t="s">
        <v>28</v>
      </c>
      <c r="B14" s="1">
        <v>76354</v>
      </c>
      <c r="C14" s="1">
        <v>80689</v>
      </c>
      <c r="D14" s="1">
        <v>87897</v>
      </c>
      <c r="I14" s="1">
        <v>101340.13099999999</v>
      </c>
      <c r="J14" s="157">
        <v>73233.455000000002</v>
      </c>
      <c r="K14" s="1">
        <v>101576.879</v>
      </c>
      <c r="L14" s="1">
        <v>106316.85400000001</v>
      </c>
      <c r="M14" s="1">
        <v>94127.092000000004</v>
      </c>
      <c r="N14" s="1">
        <v>110118.405</v>
      </c>
      <c r="O14" s="1">
        <v>112606.413</v>
      </c>
      <c r="R14" s="20">
        <v>144313.117</v>
      </c>
      <c r="S14" s="1">
        <v>168657.84400000001</v>
      </c>
      <c r="T14" s="51">
        <v>175633.46299999999</v>
      </c>
      <c r="U14" s="1">
        <v>187789.62599999999</v>
      </c>
      <c r="V14" s="1">
        <v>185664.76800000001</v>
      </c>
      <c r="W14" s="157">
        <v>191193.253</v>
      </c>
      <c r="X14" s="157">
        <v>200857.03200000001</v>
      </c>
      <c r="Y14" s="157">
        <v>212765.80900000001</v>
      </c>
      <c r="Z14" s="157">
        <v>250205.95600000001</v>
      </c>
      <c r="AA14" s="157">
        <v>262072.29399999999</v>
      </c>
      <c r="AB14" s="157">
        <v>261609.83600000001</v>
      </c>
      <c r="AC14" s="157">
        <v>258774</v>
      </c>
      <c r="AD14" s="1">
        <v>257411.136</v>
      </c>
      <c r="AE14" s="1">
        <v>263605.09100000001</v>
      </c>
      <c r="AF14" s="1">
        <v>280894.90500000003</v>
      </c>
      <c r="AG14" s="1">
        <v>282236.23200000002</v>
      </c>
      <c r="AH14" s="1">
        <v>291958.446</v>
      </c>
      <c r="AI14" s="1">
        <v>305348.58199999999</v>
      </c>
      <c r="AK14" s="1">
        <v>314207.24200000003</v>
      </c>
    </row>
    <row r="15" spans="1:39" ht="12.75" customHeight="1">
      <c r="A15" s="1" t="s">
        <v>29</v>
      </c>
      <c r="B15" s="1">
        <v>55957</v>
      </c>
      <c r="C15" s="1">
        <v>62621</v>
      </c>
      <c r="D15" s="1">
        <v>71412</v>
      </c>
      <c r="I15" s="1">
        <v>77232.108999999997</v>
      </c>
      <c r="J15" s="157">
        <v>72673.285000000003</v>
      </c>
      <c r="K15" s="1">
        <v>86064.773000000001</v>
      </c>
      <c r="L15" s="1">
        <v>95637.771999999997</v>
      </c>
      <c r="M15" s="1">
        <v>130134.04</v>
      </c>
      <c r="N15" s="1">
        <v>148221.802</v>
      </c>
      <c r="O15" s="1">
        <v>147198.51199999999</v>
      </c>
      <c r="R15" s="20">
        <v>188906.47500000001</v>
      </c>
      <c r="S15" s="1">
        <v>181494.65100000001</v>
      </c>
      <c r="T15" s="51">
        <v>156020.435</v>
      </c>
      <c r="U15" s="1">
        <v>154458.962</v>
      </c>
      <c r="V15" s="1">
        <v>154556.15700000001</v>
      </c>
      <c r="W15" s="157">
        <v>158367.658</v>
      </c>
      <c r="X15" s="157">
        <v>172743.88099999999</v>
      </c>
      <c r="Y15" s="157">
        <v>190309.86799999999</v>
      </c>
      <c r="Z15" s="157">
        <v>229524.39300000001</v>
      </c>
      <c r="AA15" s="157">
        <v>227557.56200000001</v>
      </c>
      <c r="AB15" s="157">
        <v>222251.56899999999</v>
      </c>
      <c r="AC15" s="157">
        <v>205892</v>
      </c>
      <c r="AD15" s="1">
        <v>226937.87</v>
      </c>
      <c r="AE15" s="1">
        <v>230551.516</v>
      </c>
      <c r="AF15" s="1">
        <v>234576.416</v>
      </c>
      <c r="AG15" s="1">
        <v>249306.63399999999</v>
      </c>
      <c r="AH15" s="1">
        <v>255580.872</v>
      </c>
      <c r="AI15" s="1">
        <v>248490.171</v>
      </c>
      <c r="AK15" s="1">
        <v>229249.69699999999</v>
      </c>
    </row>
    <row r="16" spans="1:39" ht="12.75" customHeight="1">
      <c r="A16" s="1" t="s">
        <v>30</v>
      </c>
      <c r="B16" s="1">
        <v>219118</v>
      </c>
      <c r="C16" s="1">
        <v>244830</v>
      </c>
      <c r="D16" s="1">
        <v>265358</v>
      </c>
      <c r="I16" s="1">
        <v>368645.08899999998</v>
      </c>
      <c r="J16" s="157">
        <v>349576.71500000003</v>
      </c>
      <c r="K16" s="1">
        <v>387416.46299999999</v>
      </c>
      <c r="L16" s="1">
        <v>424498.48</v>
      </c>
      <c r="M16" s="1">
        <v>452371.88400000002</v>
      </c>
      <c r="N16" s="1">
        <v>465130.12800000003</v>
      </c>
      <c r="O16" s="1">
        <v>492547.95342999999</v>
      </c>
      <c r="R16" s="20">
        <v>477850.984</v>
      </c>
      <c r="S16" s="1">
        <v>504881.804</v>
      </c>
      <c r="T16" s="1">
        <v>554460.15500000003</v>
      </c>
      <c r="U16" s="1">
        <v>571120.37899999996</v>
      </c>
      <c r="V16" s="1">
        <v>598406.11199999996</v>
      </c>
      <c r="W16" s="157">
        <v>675442.88100000005</v>
      </c>
      <c r="X16" s="157">
        <v>728489.63800000004</v>
      </c>
      <c r="Y16" s="157">
        <v>816583.32299999997</v>
      </c>
      <c r="Z16" s="157">
        <v>859073.39500000002</v>
      </c>
      <c r="AA16" s="157">
        <v>872199.57499999995</v>
      </c>
      <c r="AB16" s="157">
        <v>834958.78899999999</v>
      </c>
      <c r="AC16" s="157">
        <v>895382</v>
      </c>
      <c r="AD16" s="1">
        <v>872165.42</v>
      </c>
      <c r="AE16" s="1">
        <v>916488.09699999995</v>
      </c>
      <c r="AF16" s="1">
        <v>921191.81099999999</v>
      </c>
      <c r="AG16" s="1">
        <v>952633.85199999996</v>
      </c>
      <c r="AH16" s="1">
        <v>969395.19299999997</v>
      </c>
      <c r="AI16" s="1">
        <v>1005506.711</v>
      </c>
      <c r="AK16" s="1">
        <v>1082466.6950000001</v>
      </c>
    </row>
    <row r="17" spans="1:37" ht="12.75" customHeight="1">
      <c r="A17" s="1" t="s">
        <v>31</v>
      </c>
      <c r="B17" s="1">
        <v>66493</v>
      </c>
      <c r="C17" s="1">
        <v>67243</v>
      </c>
      <c r="D17" s="1">
        <v>76683</v>
      </c>
      <c r="I17" s="1">
        <v>96498.122000000003</v>
      </c>
      <c r="J17" s="157">
        <v>108018.533</v>
      </c>
      <c r="K17" s="1">
        <v>103147.696</v>
      </c>
      <c r="L17" s="1">
        <v>100400.641</v>
      </c>
      <c r="M17" s="1">
        <v>100699.341</v>
      </c>
      <c r="N17" s="1">
        <v>105188.872</v>
      </c>
      <c r="O17" s="1">
        <v>115660.9103</v>
      </c>
      <c r="R17" s="20">
        <v>136768.68599999999</v>
      </c>
      <c r="S17" s="1">
        <v>162662.497</v>
      </c>
      <c r="T17" s="1">
        <v>162914.571</v>
      </c>
      <c r="U17" s="1">
        <v>137080.63200000001</v>
      </c>
      <c r="V17" s="1">
        <v>120028.595</v>
      </c>
      <c r="W17" s="157">
        <v>123527.735</v>
      </c>
      <c r="X17" s="157">
        <v>134274.068</v>
      </c>
      <c r="Y17" s="157">
        <v>147198.29199999999</v>
      </c>
      <c r="Z17" s="157">
        <v>171680.77499999999</v>
      </c>
      <c r="AA17" s="157">
        <v>185197.48300000001</v>
      </c>
      <c r="AB17" s="157">
        <v>182798.008</v>
      </c>
      <c r="AC17" s="157">
        <v>180112</v>
      </c>
      <c r="AD17" s="1">
        <v>175254.60800000001</v>
      </c>
      <c r="AE17" s="1">
        <v>176399.584</v>
      </c>
      <c r="AF17" s="1">
        <v>184365.64199999999</v>
      </c>
      <c r="AG17" s="1">
        <v>184741.91500000001</v>
      </c>
      <c r="AH17" s="1">
        <v>161152.959</v>
      </c>
      <c r="AI17" s="1">
        <v>151253.239</v>
      </c>
      <c r="AK17" s="1">
        <v>144176.019</v>
      </c>
    </row>
    <row r="18" spans="1:37" ht="12.75" customHeight="1">
      <c r="A18" s="1" t="s">
        <v>32</v>
      </c>
      <c r="B18" s="1">
        <v>58019</v>
      </c>
      <c r="C18" s="1">
        <v>66721</v>
      </c>
      <c r="D18" s="1">
        <v>79471</v>
      </c>
      <c r="I18" s="1">
        <v>110149.147</v>
      </c>
      <c r="J18" s="157">
        <v>111239.966</v>
      </c>
      <c r="K18" s="1">
        <v>117076.30899999999</v>
      </c>
      <c r="L18" s="1">
        <v>122096.766</v>
      </c>
      <c r="M18" s="1">
        <v>127452.16</v>
      </c>
      <c r="N18" s="1">
        <v>133808.17000000001</v>
      </c>
      <c r="O18" s="1">
        <v>141274.86199999999</v>
      </c>
      <c r="R18" s="20">
        <v>174833.15400000001</v>
      </c>
      <c r="S18" s="1">
        <v>183645.52900000001</v>
      </c>
      <c r="T18" s="1">
        <v>177624.783</v>
      </c>
      <c r="U18" s="1">
        <v>167396.408</v>
      </c>
      <c r="V18" s="1">
        <v>142766.035</v>
      </c>
      <c r="W18" s="157">
        <v>148751.467</v>
      </c>
      <c r="X18" s="157">
        <v>153916.27900000001</v>
      </c>
      <c r="Y18" s="157">
        <v>168908.18799999999</v>
      </c>
      <c r="Z18" s="157">
        <v>182846.44500000001</v>
      </c>
      <c r="AA18" s="157">
        <v>140420.984</v>
      </c>
      <c r="AB18" s="157">
        <v>123635.978</v>
      </c>
      <c r="AC18" s="157">
        <v>104570</v>
      </c>
      <c r="AD18" s="1">
        <v>104848.88099999999</v>
      </c>
      <c r="AE18" s="1">
        <v>111134.851</v>
      </c>
      <c r="AF18" s="1">
        <v>116757.94</v>
      </c>
      <c r="AG18" s="1">
        <v>124082.183</v>
      </c>
      <c r="AH18" s="1">
        <v>133220.24100000001</v>
      </c>
      <c r="AI18" s="1">
        <v>159587.815</v>
      </c>
      <c r="AK18" s="1">
        <v>161135.098</v>
      </c>
    </row>
    <row r="19" spans="1:37" ht="12.75" customHeight="1">
      <c r="A19" s="1" t="s">
        <v>33</v>
      </c>
      <c r="B19" s="1">
        <v>61258</v>
      </c>
      <c r="C19" s="1">
        <v>74454</v>
      </c>
      <c r="D19" s="1">
        <v>81990</v>
      </c>
      <c r="I19" s="1">
        <v>111957.94</v>
      </c>
      <c r="J19" s="157">
        <v>108321.163</v>
      </c>
      <c r="K19" s="1">
        <v>129064.139</v>
      </c>
      <c r="L19" s="1">
        <v>142803.861</v>
      </c>
      <c r="M19" s="1">
        <v>155672.071</v>
      </c>
      <c r="N19" s="1">
        <v>159545.53200000001</v>
      </c>
      <c r="O19" s="1">
        <v>162328.91099999999</v>
      </c>
      <c r="R19" s="27">
        <v>179999.53099999999</v>
      </c>
      <c r="S19" s="1">
        <v>196100.23300000001</v>
      </c>
      <c r="T19" s="1">
        <v>191578.83</v>
      </c>
      <c r="U19" s="1">
        <v>193729.9</v>
      </c>
      <c r="V19" s="1">
        <v>190696.4</v>
      </c>
      <c r="W19" s="157">
        <v>202079.1</v>
      </c>
      <c r="X19" s="157">
        <v>204837.3</v>
      </c>
      <c r="Y19" s="157">
        <v>219939.5</v>
      </c>
      <c r="Z19" s="157">
        <v>232664.85800000001</v>
      </c>
      <c r="AA19" s="157">
        <v>221936.614</v>
      </c>
      <c r="AB19" s="157">
        <v>208197.43799999999</v>
      </c>
      <c r="AC19" s="157">
        <v>235605</v>
      </c>
      <c r="AD19" s="1">
        <v>193998.16099999999</v>
      </c>
      <c r="AE19" s="1">
        <v>200031.53</v>
      </c>
      <c r="AF19" s="1">
        <v>212663.625</v>
      </c>
      <c r="AG19" s="1">
        <v>209673.12599999999</v>
      </c>
      <c r="AH19" s="1">
        <v>220869.576</v>
      </c>
      <c r="AI19" s="1">
        <v>234869.864</v>
      </c>
      <c r="AK19" s="1">
        <v>276730.842</v>
      </c>
    </row>
    <row r="20" spans="1:37" ht="12.75" customHeight="1">
      <c r="A20" s="1" t="s">
        <v>34</v>
      </c>
      <c r="B20" s="1">
        <v>470216</v>
      </c>
      <c r="C20" s="1">
        <v>491337</v>
      </c>
      <c r="D20" s="1">
        <v>476881</v>
      </c>
      <c r="I20" s="1">
        <v>574601.58700000006</v>
      </c>
      <c r="J20" s="157">
        <v>606673.45700000005</v>
      </c>
      <c r="K20" s="1">
        <v>643927.91299999994</v>
      </c>
      <c r="L20" s="1">
        <v>708847.49399999995</v>
      </c>
      <c r="M20" s="1">
        <v>682731.67099999997</v>
      </c>
      <c r="N20" s="1">
        <v>735120.576</v>
      </c>
      <c r="O20" s="1">
        <v>747637.51899999997</v>
      </c>
      <c r="R20" s="20">
        <v>889954.81799999997</v>
      </c>
      <c r="S20" s="1">
        <v>913774.96799999999</v>
      </c>
      <c r="T20" s="1">
        <v>827503.19299999997</v>
      </c>
      <c r="U20" s="1">
        <v>792648.43900000001</v>
      </c>
      <c r="V20" s="1">
        <v>822103.35</v>
      </c>
      <c r="W20" s="157">
        <v>951577.47499999998</v>
      </c>
      <c r="X20" s="157">
        <v>1057375.378</v>
      </c>
      <c r="Y20" s="157">
        <v>1072346.419</v>
      </c>
      <c r="Z20" s="157">
        <v>1132075.9779999999</v>
      </c>
      <c r="AA20" s="157">
        <v>1197527.9839999999</v>
      </c>
      <c r="AB20" s="157">
        <v>1221152.4080000001</v>
      </c>
      <c r="AC20" s="157">
        <v>1197188</v>
      </c>
      <c r="AD20" s="1">
        <v>1124722.196</v>
      </c>
      <c r="AE20" s="1">
        <v>1120402.764</v>
      </c>
      <c r="AF20" s="1">
        <v>1186235.5689999999</v>
      </c>
      <c r="AG20" s="1">
        <v>1123551.1070000001</v>
      </c>
      <c r="AH20" s="1">
        <v>1222210.193</v>
      </c>
      <c r="AI20" s="1">
        <v>1251173.1089999999</v>
      </c>
      <c r="AK20" s="1">
        <v>1383191.635</v>
      </c>
    </row>
    <row r="21" spans="1:37" ht="12.75" customHeight="1">
      <c r="A21" s="1" t="s">
        <v>35</v>
      </c>
      <c r="B21" s="1">
        <v>111097</v>
      </c>
      <c r="C21" s="1">
        <v>129788</v>
      </c>
      <c r="D21" s="1">
        <v>136062</v>
      </c>
      <c r="I21" s="1">
        <v>179048.43599999999</v>
      </c>
      <c r="J21" s="157">
        <v>167621.74</v>
      </c>
      <c r="K21" s="1">
        <v>164593.80499999999</v>
      </c>
      <c r="L21" s="1">
        <v>172817.32800000001</v>
      </c>
      <c r="M21" s="1">
        <v>184527.851</v>
      </c>
      <c r="N21" s="1">
        <v>183680.557</v>
      </c>
      <c r="O21" s="1">
        <v>191595.63099999999</v>
      </c>
      <c r="R21" s="20">
        <v>266973.217</v>
      </c>
      <c r="S21" s="1">
        <v>291281.17700000003</v>
      </c>
      <c r="T21" s="1">
        <v>289049.88400000002</v>
      </c>
      <c r="U21" s="1">
        <v>268691.19699999999</v>
      </c>
      <c r="V21" s="1">
        <v>261955.32699999999</v>
      </c>
      <c r="W21" s="157">
        <v>287051.60700000002</v>
      </c>
      <c r="X21" s="157">
        <v>334857.61700000003</v>
      </c>
      <c r="Y21" s="157">
        <v>358571.04800000001</v>
      </c>
      <c r="Z21" s="157">
        <v>390007.04399999999</v>
      </c>
      <c r="AA21" s="157">
        <v>379304.65700000001</v>
      </c>
      <c r="AB21" s="157">
        <v>330287.03899999999</v>
      </c>
      <c r="AC21" s="157">
        <v>333162</v>
      </c>
      <c r="AD21" s="1">
        <v>310998.59600000002</v>
      </c>
      <c r="AE21" s="1">
        <v>376654.28</v>
      </c>
      <c r="AF21" s="1">
        <v>381823.63400000002</v>
      </c>
      <c r="AG21" s="1">
        <v>387904.739</v>
      </c>
      <c r="AH21" s="1">
        <v>393139.91</v>
      </c>
      <c r="AI21" s="1">
        <v>406623.49699999997</v>
      </c>
      <c r="AK21" s="1">
        <v>413707.56400000001</v>
      </c>
    </row>
    <row r="22" spans="1:37" ht="12.75" customHeight="1">
      <c r="A22" s="30" t="s">
        <v>36</v>
      </c>
      <c r="B22" s="30">
        <v>10991</v>
      </c>
      <c r="C22" s="30">
        <v>12188</v>
      </c>
      <c r="D22" s="30">
        <v>12796</v>
      </c>
      <c r="E22" s="30"/>
      <c r="F22" s="30"/>
      <c r="G22" s="30"/>
      <c r="H22" s="30"/>
      <c r="I22" s="30">
        <v>10767.383</v>
      </c>
      <c r="J22" s="158">
        <v>11572.941999999999</v>
      </c>
      <c r="K22" s="30">
        <v>11498</v>
      </c>
      <c r="L22" s="30">
        <v>12200.937</v>
      </c>
      <c r="M22" s="30">
        <v>12734.862999999999</v>
      </c>
      <c r="N22" s="30">
        <v>14045.630999999999</v>
      </c>
      <c r="O22" s="30">
        <v>14649.238630000002</v>
      </c>
      <c r="P22" s="30"/>
      <c r="Q22" s="30"/>
      <c r="R22" s="30">
        <v>16247.72</v>
      </c>
      <c r="S22" s="30">
        <v>25629.777999999998</v>
      </c>
      <c r="T22" s="30">
        <v>18897.496999999999</v>
      </c>
      <c r="U22" s="30">
        <v>20609.012999999999</v>
      </c>
      <c r="V22" s="30">
        <v>16418.952000000001</v>
      </c>
      <c r="W22" s="158">
        <v>33332.536999999997</v>
      </c>
      <c r="X22" s="158">
        <v>32328.748</v>
      </c>
      <c r="Y22" s="158">
        <v>41884.555999999997</v>
      </c>
      <c r="Z22" s="158">
        <v>48564.862000000001</v>
      </c>
      <c r="AA22" s="158">
        <v>53691.856</v>
      </c>
      <c r="AB22" s="158">
        <v>56520.213000000003</v>
      </c>
      <c r="AC22" s="158">
        <v>56258</v>
      </c>
      <c r="AD22" s="30">
        <v>62743.5</v>
      </c>
      <c r="AE22" s="30">
        <v>65530.656000000003</v>
      </c>
      <c r="AF22" s="30">
        <v>59663.059000000001</v>
      </c>
      <c r="AG22" s="30">
        <v>58767.817999999999</v>
      </c>
      <c r="AH22" s="30">
        <v>56587.544999999998</v>
      </c>
      <c r="AI22" s="30">
        <v>55953.489000000001</v>
      </c>
      <c r="AJ22" s="30"/>
      <c r="AK22" s="30">
        <v>58307.06</v>
      </c>
    </row>
    <row r="23" spans="1:37" ht="12.75" customHeight="1">
      <c r="A23" s="6" t="s">
        <v>37</v>
      </c>
      <c r="B23" s="58">
        <f>SUM(B25:B37)</f>
        <v>0</v>
      </c>
      <c r="C23" s="58">
        <f t="shared" ref="C23:AK23" si="12">SUM(C25:C37)</f>
        <v>0</v>
      </c>
      <c r="D23" s="58">
        <f t="shared" si="12"/>
        <v>0</v>
      </c>
      <c r="E23" s="58">
        <f t="shared" si="12"/>
        <v>0</v>
      </c>
      <c r="F23" s="58">
        <f t="shared" si="12"/>
        <v>0</v>
      </c>
      <c r="G23" s="58">
        <f t="shared" si="12"/>
        <v>0</v>
      </c>
      <c r="H23" s="58">
        <f t="shared" si="12"/>
        <v>0</v>
      </c>
      <c r="I23" s="58">
        <f t="shared" si="12"/>
        <v>0</v>
      </c>
      <c r="J23" s="58">
        <f t="shared" si="12"/>
        <v>2562289.3310000002</v>
      </c>
      <c r="K23" s="58">
        <f t="shared" si="12"/>
        <v>0</v>
      </c>
      <c r="L23" s="58">
        <f t="shared" si="12"/>
        <v>0</v>
      </c>
      <c r="M23" s="58">
        <f t="shared" si="12"/>
        <v>2232641.165</v>
      </c>
      <c r="N23" s="58">
        <f t="shared" si="12"/>
        <v>0</v>
      </c>
      <c r="O23" s="58">
        <f t="shared" si="12"/>
        <v>2685966.0266400003</v>
      </c>
      <c r="P23" s="58">
        <f t="shared" si="12"/>
        <v>0</v>
      </c>
      <c r="Q23" s="58">
        <f t="shared" si="12"/>
        <v>0</v>
      </c>
      <c r="R23" s="58">
        <f t="shared" si="12"/>
        <v>2806036.8430000003</v>
      </c>
      <c r="S23" s="58">
        <f t="shared" si="12"/>
        <v>3131465.5729999999</v>
      </c>
      <c r="T23" s="58">
        <f t="shared" si="12"/>
        <v>3201920.3279999997</v>
      </c>
      <c r="U23" s="58">
        <f t="shared" si="12"/>
        <v>2977852.3840000001</v>
      </c>
      <c r="V23" s="58">
        <f t="shared" si="12"/>
        <v>2872351.1719999998</v>
      </c>
      <c r="W23" s="58">
        <f t="shared" si="12"/>
        <v>3799761.639</v>
      </c>
      <c r="X23" s="58">
        <f t="shared" si="12"/>
        <v>4206877.5329999998</v>
      </c>
      <c r="Y23" s="58">
        <f t="shared" si="12"/>
        <v>4608251.7640000004</v>
      </c>
      <c r="Z23" s="58">
        <f t="shared" si="12"/>
        <v>5077383.7609999999</v>
      </c>
      <c r="AA23" s="58">
        <f t="shared" si="12"/>
        <v>5338464.7989999996</v>
      </c>
      <c r="AB23" s="58">
        <f t="shared" si="12"/>
        <v>5072165.0949999997</v>
      </c>
      <c r="AC23" s="58">
        <f t="shared" si="12"/>
        <v>5332755</v>
      </c>
      <c r="AD23" s="58">
        <f t="shared" si="12"/>
        <v>4552120.381000001</v>
      </c>
      <c r="AE23" s="58">
        <f t="shared" si="12"/>
        <v>4178682.2069999999</v>
      </c>
      <c r="AF23" s="58">
        <f t="shared" si="12"/>
        <v>3689836.2609999999</v>
      </c>
      <c r="AG23" s="58">
        <f t="shared" si="12"/>
        <v>3726225.6730000004</v>
      </c>
      <c r="AH23" s="58">
        <f t="shared" si="12"/>
        <v>5251705.8289999999</v>
      </c>
      <c r="AI23" s="58">
        <f t="shared" si="12"/>
        <v>4850483.1630000006</v>
      </c>
      <c r="AJ23" s="58">
        <f t="shared" si="12"/>
        <v>0</v>
      </c>
      <c r="AK23" s="58">
        <f t="shared" si="12"/>
        <v>5566967.1270000003</v>
      </c>
    </row>
    <row r="24" spans="1:37" ht="12.75" customHeight="1">
      <c r="A24" s="6" t="s">
        <v>94</v>
      </c>
    </row>
    <row r="25" spans="1:37" ht="12.75" customHeight="1">
      <c r="A25" s="1" t="s">
        <v>38</v>
      </c>
      <c r="J25" s="157">
        <v>1294.2329999999999</v>
      </c>
      <c r="M25" s="1">
        <v>1621.5160000000001</v>
      </c>
      <c r="O25" s="1">
        <v>1582.472</v>
      </c>
      <c r="R25" s="20">
        <v>1574.4</v>
      </c>
      <c r="S25" s="1">
        <v>1691.895</v>
      </c>
      <c r="T25" s="1">
        <v>1764.806</v>
      </c>
      <c r="U25" s="1">
        <v>1906.9</v>
      </c>
      <c r="V25" s="1">
        <v>1949.134</v>
      </c>
      <c r="W25" s="157">
        <v>2034.6</v>
      </c>
      <c r="X25" s="157">
        <v>2353.4499999999998</v>
      </c>
      <c r="Y25" s="157">
        <v>2849.6709999999998</v>
      </c>
      <c r="Z25" s="157">
        <v>3253.2240000000002</v>
      </c>
      <c r="AA25" s="157">
        <v>3118.393</v>
      </c>
      <c r="AB25" s="157">
        <v>3236.8670000000002</v>
      </c>
      <c r="AC25" s="157">
        <v>3400</v>
      </c>
      <c r="AD25" s="1">
        <v>3676.2020000000002</v>
      </c>
      <c r="AE25" s="1">
        <v>10103.174000000001</v>
      </c>
      <c r="AH25" s="1">
        <v>0</v>
      </c>
      <c r="AI25" s="1">
        <v>0</v>
      </c>
      <c r="AK25" s="1">
        <v>0</v>
      </c>
    </row>
    <row r="26" spans="1:37" ht="12.75" customHeight="1">
      <c r="A26" s="1" t="s">
        <v>39</v>
      </c>
      <c r="J26" s="157">
        <v>72588.133000000002</v>
      </c>
      <c r="M26" s="1">
        <v>82201.551000000007</v>
      </c>
      <c r="O26" s="1">
        <v>95198.289569999994</v>
      </c>
      <c r="R26" s="20">
        <v>114872.503</v>
      </c>
      <c r="S26" s="1">
        <v>120984.753</v>
      </c>
      <c r="T26" s="1">
        <v>119860.694</v>
      </c>
      <c r="U26" s="1">
        <v>115280.36</v>
      </c>
      <c r="V26" s="1">
        <v>114417.773</v>
      </c>
      <c r="W26" s="157">
        <v>128700.508</v>
      </c>
      <c r="X26" s="157">
        <v>134110.10699999999</v>
      </c>
      <c r="Y26" s="157">
        <v>141177.033</v>
      </c>
      <c r="Z26" s="157">
        <v>145791.908</v>
      </c>
      <c r="AA26" s="157">
        <v>136772.804</v>
      </c>
      <c r="AB26" s="157">
        <v>133432.02900000001</v>
      </c>
      <c r="AC26" s="157">
        <v>133283</v>
      </c>
      <c r="AD26" s="1">
        <v>69742.03</v>
      </c>
      <c r="AE26" s="1">
        <v>64614.298999999999</v>
      </c>
      <c r="AF26" s="1">
        <v>16204.323</v>
      </c>
      <c r="AG26" s="1">
        <v>16886.224999999999</v>
      </c>
      <c r="AH26" s="1">
        <v>49084.258000000002</v>
      </c>
      <c r="AI26" s="1">
        <v>49196.159</v>
      </c>
      <c r="AK26" s="1">
        <v>51424.158000000003</v>
      </c>
    </row>
    <row r="27" spans="1:37" ht="12.75" customHeight="1">
      <c r="A27" s="1" t="s">
        <v>40</v>
      </c>
      <c r="J27" s="157">
        <v>1730916.942</v>
      </c>
      <c r="M27" s="1">
        <v>1249387.243</v>
      </c>
      <c r="O27" s="1">
        <v>1552899.5030799999</v>
      </c>
      <c r="R27" s="20">
        <v>1480542.8259999999</v>
      </c>
      <c r="S27" s="1">
        <v>1704993.5179999999</v>
      </c>
      <c r="T27" s="1">
        <v>1750291.827</v>
      </c>
      <c r="U27" s="1">
        <v>1575236.0390000001</v>
      </c>
      <c r="V27" s="1">
        <v>1423897.5319999999</v>
      </c>
      <c r="W27" s="157">
        <v>2377657.0189999999</v>
      </c>
      <c r="X27" s="157">
        <v>2667344.4049999998</v>
      </c>
      <c r="Y27" s="157">
        <v>3163011.1430000002</v>
      </c>
      <c r="Z27" s="157">
        <v>3353571.1830000002</v>
      </c>
      <c r="AA27" s="157">
        <v>3477650.9479999999</v>
      </c>
      <c r="AB27" s="157">
        <v>3286944.4870000002</v>
      </c>
      <c r="AC27" s="157">
        <v>3620025</v>
      </c>
      <c r="AD27" s="1">
        <v>2944547.9730000002</v>
      </c>
      <c r="AE27" s="1">
        <v>2642987.5660000001</v>
      </c>
      <c r="AF27" s="1">
        <v>2255129.36</v>
      </c>
      <c r="AG27" s="1">
        <v>2328263.608</v>
      </c>
      <c r="AH27" s="1">
        <v>3398340.9279999998</v>
      </c>
      <c r="AI27" s="1">
        <v>3131987.6359999999</v>
      </c>
      <c r="AK27" s="1">
        <v>3670947.003</v>
      </c>
    </row>
    <row r="28" spans="1:37" ht="12.75" customHeight="1">
      <c r="A28" s="1" t="s">
        <v>41</v>
      </c>
      <c r="J28" s="157">
        <v>80621.755000000005</v>
      </c>
      <c r="M28" s="1">
        <v>90437.58</v>
      </c>
      <c r="O28" s="1">
        <v>103276.47</v>
      </c>
      <c r="R28" s="20">
        <v>128990.523</v>
      </c>
      <c r="S28" s="1">
        <v>133108.973</v>
      </c>
      <c r="T28" s="1">
        <v>125218.65300000001</v>
      </c>
      <c r="U28" s="1">
        <v>116233.068</v>
      </c>
      <c r="V28" s="1">
        <v>105247.845</v>
      </c>
      <c r="W28" s="157">
        <v>106962.444</v>
      </c>
      <c r="X28" s="157">
        <v>12601.933999999999</v>
      </c>
      <c r="Y28" s="157">
        <v>13668.050999999999</v>
      </c>
      <c r="Z28" s="157">
        <v>15590.198</v>
      </c>
      <c r="AA28" s="157">
        <v>13452.748</v>
      </c>
      <c r="AB28" s="157">
        <v>8500.0030000000006</v>
      </c>
      <c r="AC28" s="157">
        <v>12293</v>
      </c>
      <c r="AD28" s="1">
        <v>13833.313</v>
      </c>
      <c r="AE28" s="1">
        <v>13847.338</v>
      </c>
      <c r="AF28" s="1">
        <v>6990.9040000000005</v>
      </c>
      <c r="AG28" s="1">
        <v>7940.7870000000003</v>
      </c>
      <c r="AH28" s="1">
        <v>10510.638999999999</v>
      </c>
      <c r="AI28" s="1">
        <v>10613.106</v>
      </c>
      <c r="AK28" s="1">
        <v>14867.574000000001</v>
      </c>
    </row>
    <row r="29" spans="1:37" ht="12.75" customHeight="1">
      <c r="A29" s="1" t="s">
        <v>42</v>
      </c>
      <c r="J29" s="157">
        <v>79710.885999999999</v>
      </c>
      <c r="M29" s="1">
        <v>82745.259000000005</v>
      </c>
      <c r="O29" s="1">
        <v>62727.360999999997</v>
      </c>
      <c r="R29" s="20">
        <v>64345.838000000003</v>
      </c>
      <c r="S29" s="1">
        <v>65133.091</v>
      </c>
      <c r="T29" s="1">
        <v>69584.606</v>
      </c>
      <c r="U29" s="1">
        <v>73674.384999999995</v>
      </c>
      <c r="V29" s="1">
        <v>66318.612999999998</v>
      </c>
      <c r="W29" s="157">
        <v>68383.146999999997</v>
      </c>
      <c r="X29" s="157">
        <v>73891.437999999995</v>
      </c>
      <c r="Y29" s="157">
        <v>88009.304000000004</v>
      </c>
      <c r="Z29" s="157">
        <v>97004.769</v>
      </c>
      <c r="AA29" s="157">
        <v>122440.864</v>
      </c>
      <c r="AB29" s="157">
        <v>101983.879</v>
      </c>
      <c r="AC29" s="157">
        <v>99013</v>
      </c>
      <c r="AD29" s="1">
        <v>107133.63</v>
      </c>
      <c r="AE29" s="1">
        <v>104369.48</v>
      </c>
      <c r="AF29" s="1">
        <v>111693.37</v>
      </c>
      <c r="AG29" s="1">
        <v>115327.73299999999</v>
      </c>
      <c r="AH29" s="1">
        <v>122858.996</v>
      </c>
      <c r="AI29" s="1">
        <v>131695.02499999999</v>
      </c>
      <c r="AK29" s="1">
        <v>141831.80499999999</v>
      </c>
    </row>
    <row r="30" spans="1:37" ht="12.75" customHeight="1">
      <c r="A30" s="1" t="s">
        <v>43</v>
      </c>
      <c r="J30" s="157">
        <v>14289.692999999999</v>
      </c>
      <c r="M30" s="1">
        <v>16308.821</v>
      </c>
      <c r="O30" s="1">
        <v>22025.536</v>
      </c>
      <c r="R30" s="20">
        <v>27193.861000000001</v>
      </c>
      <c r="S30" s="1">
        <v>29955.256000000001</v>
      </c>
      <c r="T30" s="1">
        <v>35190.470999999998</v>
      </c>
      <c r="U30" s="1">
        <v>32471.743999999999</v>
      </c>
      <c r="V30" s="1">
        <v>34049.375999999997</v>
      </c>
      <c r="W30" s="157">
        <v>35446.688000000002</v>
      </c>
      <c r="X30" s="157">
        <v>36792.262999999999</v>
      </c>
      <c r="Y30" s="157">
        <v>39462.345000000001</v>
      </c>
      <c r="Z30" s="157">
        <v>43055.065000000002</v>
      </c>
      <c r="AA30" s="157">
        <v>43564.394999999997</v>
      </c>
      <c r="AB30" s="157">
        <v>38639.182000000001</v>
      </c>
      <c r="AC30" s="157">
        <v>38260</v>
      </c>
      <c r="AD30" s="1">
        <v>46971.692999999999</v>
      </c>
      <c r="AE30" s="1">
        <v>52447.258999999998</v>
      </c>
      <c r="AF30" s="1">
        <v>47137.569000000003</v>
      </c>
      <c r="AG30" s="1">
        <v>51210.978000000003</v>
      </c>
      <c r="AH30" s="1">
        <v>59490.252999999997</v>
      </c>
      <c r="AI30" s="1">
        <v>64936.398000000001</v>
      </c>
      <c r="AK30" s="1">
        <v>75674.100000000006</v>
      </c>
    </row>
    <row r="31" spans="1:37" ht="12.75" customHeight="1">
      <c r="A31" s="1" t="s">
        <v>44</v>
      </c>
      <c r="J31" s="157">
        <v>3670.2689999999998</v>
      </c>
      <c r="M31" s="1">
        <v>11860.811</v>
      </c>
      <c r="O31" s="1">
        <v>10301.754140000001</v>
      </c>
      <c r="R31" s="27">
        <v>10135.204</v>
      </c>
      <c r="S31" s="1">
        <v>10719.752</v>
      </c>
      <c r="T31" s="1">
        <v>11336.412</v>
      </c>
      <c r="U31" s="1">
        <v>11397.541999999999</v>
      </c>
      <c r="V31" s="1">
        <v>12992.628000000001</v>
      </c>
      <c r="W31" s="157">
        <v>13095.439</v>
      </c>
      <c r="X31" s="157">
        <v>15216.058000000001</v>
      </c>
      <c r="Y31" s="157">
        <v>15243.236999999999</v>
      </c>
      <c r="Z31" s="157">
        <v>18588.682000000001</v>
      </c>
      <c r="AA31" s="157">
        <v>19748.503000000001</v>
      </c>
      <c r="AB31" s="157">
        <v>20010.186000000002</v>
      </c>
      <c r="AC31" s="157">
        <v>19128</v>
      </c>
      <c r="AD31" s="1">
        <v>21929.727999999999</v>
      </c>
      <c r="AE31" s="1">
        <v>21617.838</v>
      </c>
      <c r="AF31" s="1">
        <v>25543.603999999999</v>
      </c>
      <c r="AG31" s="1">
        <v>26716.437000000002</v>
      </c>
      <c r="AH31" s="1">
        <v>26483.741999999998</v>
      </c>
      <c r="AI31" s="1">
        <v>26609.837</v>
      </c>
      <c r="AK31" s="1">
        <v>25705.702000000001</v>
      </c>
    </row>
    <row r="32" spans="1:37" ht="12.75" customHeight="1">
      <c r="A32" s="1" t="s">
        <v>45</v>
      </c>
      <c r="J32" s="157">
        <v>41354.178999999996</v>
      </c>
      <c r="M32" s="1">
        <v>49683.332999999999</v>
      </c>
      <c r="O32" s="1">
        <v>61329</v>
      </c>
      <c r="R32" s="27">
        <v>86110</v>
      </c>
      <c r="S32" s="1">
        <v>91358</v>
      </c>
      <c r="T32" s="1">
        <v>92804</v>
      </c>
      <c r="U32" s="1">
        <v>96610</v>
      </c>
      <c r="V32" s="1">
        <v>46625</v>
      </c>
      <c r="W32" s="157">
        <v>48368</v>
      </c>
      <c r="X32" s="157">
        <v>53852</v>
      </c>
      <c r="Y32" s="157">
        <v>36876</v>
      </c>
      <c r="Z32" s="157">
        <v>40633</v>
      </c>
      <c r="AA32" s="157">
        <v>169232</v>
      </c>
      <c r="AB32" s="157">
        <v>100503</v>
      </c>
      <c r="AC32" s="157">
        <v>159880</v>
      </c>
      <c r="AD32" s="1">
        <v>137230</v>
      </c>
      <c r="AE32" s="1">
        <v>137227</v>
      </c>
      <c r="AF32" s="1">
        <v>141113</v>
      </c>
      <c r="AG32" s="1">
        <v>142357</v>
      </c>
      <c r="AH32" s="1">
        <v>146294</v>
      </c>
      <c r="AI32" s="1">
        <v>148639</v>
      </c>
      <c r="AK32" s="1">
        <v>170588</v>
      </c>
    </row>
    <row r="33" spans="1:37" ht="12.75" customHeight="1">
      <c r="A33" s="1" t="s">
        <v>46</v>
      </c>
      <c r="J33" s="157">
        <v>56122.303999999996</v>
      </c>
      <c r="M33" s="1">
        <v>78060.004000000001</v>
      </c>
      <c r="O33" s="1">
        <v>103708.43584999999</v>
      </c>
      <c r="R33" s="27">
        <v>125964.91099999999</v>
      </c>
      <c r="S33" s="1">
        <v>133179.03099999999</v>
      </c>
      <c r="T33" s="1">
        <v>141609.068</v>
      </c>
      <c r="U33" s="1">
        <v>141572.323</v>
      </c>
      <c r="V33" s="1">
        <v>145017.321</v>
      </c>
      <c r="W33" s="157">
        <v>157894.74</v>
      </c>
      <c r="X33" s="157">
        <v>171499.701</v>
      </c>
      <c r="Y33" s="157">
        <v>187010.902</v>
      </c>
      <c r="Z33" s="157">
        <v>206009.255</v>
      </c>
      <c r="AA33" s="157">
        <v>215504.58499999999</v>
      </c>
      <c r="AB33" s="157">
        <v>201140.068</v>
      </c>
      <c r="AC33" s="157">
        <v>195694</v>
      </c>
      <c r="AD33" s="1">
        <v>178847.239</v>
      </c>
      <c r="AE33" s="1">
        <v>188062.878</v>
      </c>
      <c r="AF33" s="1">
        <v>118764.15399999999</v>
      </c>
      <c r="AG33" s="1">
        <v>123489.74099999999</v>
      </c>
      <c r="AH33" s="1">
        <v>213211.815</v>
      </c>
      <c r="AI33" s="1">
        <v>198628.76199999999</v>
      </c>
      <c r="AK33" s="1">
        <v>202335.43299999999</v>
      </c>
    </row>
    <row r="34" spans="1:37" ht="12.75" customHeight="1">
      <c r="A34" s="1" t="s">
        <v>47</v>
      </c>
      <c r="J34" s="157">
        <v>83227.858999999997</v>
      </c>
      <c r="M34" s="1">
        <v>127637.647</v>
      </c>
      <c r="O34" s="1">
        <v>163733.39506000001</v>
      </c>
      <c r="R34" s="20">
        <v>202353.19</v>
      </c>
      <c r="S34" s="1">
        <v>207281.302</v>
      </c>
      <c r="T34" s="1">
        <v>219361.78</v>
      </c>
      <c r="U34" s="1">
        <v>144769.18</v>
      </c>
      <c r="V34" s="1">
        <v>243732.666</v>
      </c>
      <c r="W34" s="157">
        <v>157104.77799999999</v>
      </c>
      <c r="X34" s="157">
        <v>263941.42300000001</v>
      </c>
      <c r="Y34" s="157">
        <v>165662.06599999999</v>
      </c>
      <c r="Z34" s="157">
        <v>303000.14399999997</v>
      </c>
      <c r="AA34" s="157">
        <v>192092.74799999999</v>
      </c>
      <c r="AB34" s="157">
        <v>283377.53899999999</v>
      </c>
      <c r="AC34" s="157">
        <v>152189</v>
      </c>
      <c r="AD34" s="1">
        <v>255171.24</v>
      </c>
      <c r="AE34" s="1">
        <v>137348.41099999999</v>
      </c>
      <c r="AF34" s="1">
        <v>271869.42499999999</v>
      </c>
      <c r="AG34" s="1">
        <v>185124.364</v>
      </c>
      <c r="AH34" s="1">
        <v>332439.48100000003</v>
      </c>
      <c r="AI34" s="1">
        <v>211500.736</v>
      </c>
      <c r="AK34" s="1">
        <v>217483.12400000001</v>
      </c>
    </row>
    <row r="35" spans="1:37" ht="12.75" customHeight="1">
      <c r="A35" s="1" t="s">
        <v>48</v>
      </c>
      <c r="J35" s="157">
        <v>64777.947999999997</v>
      </c>
      <c r="M35" s="1">
        <v>64540.226999999999</v>
      </c>
      <c r="O35" s="1">
        <v>73851.839000000007</v>
      </c>
      <c r="R35" s="20">
        <v>74498.835999999996</v>
      </c>
      <c r="S35" s="1">
        <v>86864.171000000002</v>
      </c>
      <c r="T35" s="1">
        <v>83291.153000000006</v>
      </c>
      <c r="U35" s="1">
        <v>88551.638000000006</v>
      </c>
      <c r="V35" s="1">
        <v>104711.818</v>
      </c>
      <c r="W35" s="157">
        <v>108372.242</v>
      </c>
      <c r="X35" s="157">
        <v>114338.523</v>
      </c>
      <c r="Y35" s="157">
        <v>129728.73299999999</v>
      </c>
      <c r="Z35" s="157">
        <v>144134.02100000001</v>
      </c>
      <c r="AA35" s="157">
        <v>122721.567</v>
      </c>
      <c r="AB35" s="157">
        <v>123705.932</v>
      </c>
      <c r="AC35" s="157">
        <v>113183</v>
      </c>
      <c r="AD35" s="1">
        <v>84260.831000000006</v>
      </c>
      <c r="AE35" s="1">
        <v>115443.71</v>
      </c>
      <c r="AF35" s="1">
        <v>121174.14599999999</v>
      </c>
      <c r="AG35" s="1">
        <v>146600.815</v>
      </c>
      <c r="AH35" s="1">
        <v>119728.90399999999</v>
      </c>
      <c r="AI35" s="1">
        <v>122834.91</v>
      </c>
      <c r="AK35" s="1">
        <v>135216.01500000001</v>
      </c>
    </row>
    <row r="36" spans="1:37" ht="12.75" customHeight="1">
      <c r="A36" s="1" t="s">
        <v>49</v>
      </c>
      <c r="J36" s="157">
        <v>290055.82500000001</v>
      </c>
      <c r="M36" s="1">
        <v>335005.40999999997</v>
      </c>
      <c r="O36" s="1">
        <v>390356.65893999999</v>
      </c>
      <c r="R36" s="20">
        <v>444726.57699999999</v>
      </c>
      <c r="S36" s="1">
        <v>498110.83399999997</v>
      </c>
      <c r="T36" s="1">
        <v>493904.20799999998</v>
      </c>
      <c r="U36" s="1">
        <v>515266.82900000003</v>
      </c>
      <c r="V36" s="1">
        <v>505617.03499999997</v>
      </c>
      <c r="W36" s="157">
        <v>524971.34400000004</v>
      </c>
      <c r="X36" s="157">
        <v>581528.21</v>
      </c>
      <c r="Y36" s="157">
        <v>537994.76800000004</v>
      </c>
      <c r="Z36" s="157">
        <v>605971.55799999996</v>
      </c>
      <c r="AA36" s="157">
        <v>711844.16599999997</v>
      </c>
      <c r="AB36" s="157">
        <v>672846.90700000001</v>
      </c>
      <c r="AC36" s="157">
        <v>673095</v>
      </c>
      <c r="AD36" s="1">
        <v>573690.86899999995</v>
      </c>
      <c r="AE36" s="1">
        <v>564347.39899999998</v>
      </c>
      <c r="AF36" s="1">
        <v>463079.85</v>
      </c>
      <c r="AG36" s="1">
        <v>460071.12</v>
      </c>
      <c r="AH36" s="1">
        <v>646443.98199999996</v>
      </c>
      <c r="AI36" s="1">
        <v>636237.43299999996</v>
      </c>
      <c r="AK36" s="1">
        <v>745995.12600000005</v>
      </c>
    </row>
    <row r="37" spans="1:37" ht="12.75" customHeight="1">
      <c r="A37" s="30" t="s">
        <v>50</v>
      </c>
      <c r="B37" s="30"/>
      <c r="C37" s="30"/>
      <c r="D37" s="30"/>
      <c r="E37" s="30"/>
      <c r="F37" s="30"/>
      <c r="G37" s="30"/>
      <c r="H37" s="30"/>
      <c r="I37" s="30"/>
      <c r="J37" s="158">
        <v>43659.305</v>
      </c>
      <c r="K37" s="30"/>
      <c r="L37" s="30"/>
      <c r="M37" s="30">
        <v>43151.762999999999</v>
      </c>
      <c r="N37" s="30"/>
      <c r="O37" s="30">
        <v>44975.311999999998</v>
      </c>
      <c r="P37" s="30"/>
      <c r="Q37" s="30"/>
      <c r="R37" s="40">
        <v>44728.173999999999</v>
      </c>
      <c r="S37" s="30">
        <v>48084.997000000003</v>
      </c>
      <c r="T37" s="30">
        <v>57702.65</v>
      </c>
      <c r="U37" s="30">
        <v>64882.375999999997</v>
      </c>
      <c r="V37" s="30">
        <v>67774.430999999997</v>
      </c>
      <c r="W37" s="158">
        <v>70770.69</v>
      </c>
      <c r="X37" s="158">
        <v>79408.020999999993</v>
      </c>
      <c r="Y37" s="158">
        <v>87558.510999999999</v>
      </c>
      <c r="Z37" s="158">
        <v>100780.754</v>
      </c>
      <c r="AA37" s="158">
        <v>110321.07799999999</v>
      </c>
      <c r="AB37" s="158">
        <v>97845.016000000003</v>
      </c>
      <c r="AC37" s="158">
        <v>113312</v>
      </c>
      <c r="AD37" s="30">
        <v>115085.633</v>
      </c>
      <c r="AE37" s="30">
        <v>126265.855</v>
      </c>
      <c r="AF37" s="30">
        <v>111136.556</v>
      </c>
      <c r="AG37" s="30">
        <v>122236.86500000001</v>
      </c>
      <c r="AH37" s="30">
        <v>126818.83100000001</v>
      </c>
      <c r="AI37" s="30">
        <v>117604.16099999999</v>
      </c>
      <c r="AJ37" s="30"/>
      <c r="AK37" s="30">
        <v>114899.087</v>
      </c>
    </row>
    <row r="38" spans="1:37" ht="12.75" customHeight="1">
      <c r="A38" s="6" t="s">
        <v>51</v>
      </c>
      <c r="B38" s="58">
        <f>SUM(B40:B51)</f>
        <v>0</v>
      </c>
      <c r="C38" s="58">
        <f t="shared" ref="C38:AK38" si="13">SUM(C40:C51)</f>
        <v>0</v>
      </c>
      <c r="D38" s="58">
        <f t="shared" si="13"/>
        <v>0</v>
      </c>
      <c r="E38" s="58">
        <f t="shared" si="13"/>
        <v>0</v>
      </c>
      <c r="F38" s="58">
        <f t="shared" si="13"/>
        <v>0</v>
      </c>
      <c r="G38" s="58">
        <f t="shared" si="13"/>
        <v>0</v>
      </c>
      <c r="H38" s="58">
        <f t="shared" si="13"/>
        <v>0</v>
      </c>
      <c r="I38" s="58">
        <f t="shared" si="13"/>
        <v>0</v>
      </c>
      <c r="J38" s="58">
        <f t="shared" si="13"/>
        <v>1315374.9169999999</v>
      </c>
      <c r="K38" s="58">
        <f t="shared" si="13"/>
        <v>0</v>
      </c>
      <c r="L38" s="58">
        <f t="shared" si="13"/>
        <v>0</v>
      </c>
      <c r="M38" s="58">
        <f t="shared" si="13"/>
        <v>1433847.2490000001</v>
      </c>
      <c r="N38" s="58">
        <f t="shared" si="13"/>
        <v>0</v>
      </c>
      <c r="O38" s="58">
        <f t="shared" si="13"/>
        <v>1665274.4393000002</v>
      </c>
      <c r="P38" s="58">
        <f t="shared" si="13"/>
        <v>0</v>
      </c>
      <c r="Q38" s="58">
        <f t="shared" si="13"/>
        <v>0</v>
      </c>
      <c r="R38" s="58">
        <f t="shared" si="13"/>
        <v>1947140.976</v>
      </c>
      <c r="S38" s="58">
        <f t="shared" si="13"/>
        <v>2112662.6290000002</v>
      </c>
      <c r="T38" s="58">
        <f t="shared" si="13"/>
        <v>1980952.4439999997</v>
      </c>
      <c r="U38" s="58">
        <f t="shared" si="13"/>
        <v>2004338.4160000002</v>
      </c>
      <c r="V38" s="58">
        <f t="shared" si="13"/>
        <v>1979027.98</v>
      </c>
      <c r="W38" s="58">
        <f t="shared" si="13"/>
        <v>1928110.5549999997</v>
      </c>
      <c r="X38" s="58">
        <f t="shared" si="13"/>
        <v>1990467.0489999999</v>
      </c>
      <c r="Y38" s="58">
        <f t="shared" si="13"/>
        <v>2050219.6459999999</v>
      </c>
      <c r="Z38" s="58">
        <f t="shared" si="13"/>
        <v>2247461.4629999995</v>
      </c>
      <c r="AA38" s="58">
        <f t="shared" si="13"/>
        <v>2358872.4609999997</v>
      </c>
      <c r="AB38" s="58">
        <f t="shared" si="13"/>
        <v>2201861.5219999999</v>
      </c>
      <c r="AC38" s="58">
        <f t="shared" si="13"/>
        <v>2274687</v>
      </c>
      <c r="AD38" s="58">
        <f t="shared" si="13"/>
        <v>2320623.3560000001</v>
      </c>
      <c r="AE38" s="58">
        <f t="shared" si="13"/>
        <v>2485980.6190000004</v>
      </c>
      <c r="AF38" s="58">
        <f t="shared" si="13"/>
        <v>2243142.8279999997</v>
      </c>
      <c r="AG38" s="58">
        <f t="shared" si="13"/>
        <v>2397737.7430000002</v>
      </c>
      <c r="AH38" s="58">
        <f t="shared" si="13"/>
        <v>3120917.7719999999</v>
      </c>
      <c r="AI38" s="58">
        <f t="shared" si="13"/>
        <v>3321822.5389999999</v>
      </c>
      <c r="AJ38" s="58">
        <f t="shared" si="13"/>
        <v>0</v>
      </c>
      <c r="AK38" s="58">
        <f t="shared" si="13"/>
        <v>3528259.827</v>
      </c>
    </row>
    <row r="39" spans="1:37" ht="12.75" customHeight="1">
      <c r="A39" s="6" t="s">
        <v>94</v>
      </c>
    </row>
    <row r="40" spans="1:37" ht="12.75" customHeight="1">
      <c r="A40" s="1" t="s">
        <v>52</v>
      </c>
      <c r="J40" s="157">
        <v>211557.25099999999</v>
      </c>
      <c r="M40" s="1">
        <v>246425.59700000001</v>
      </c>
      <c r="O40" s="1">
        <v>191134.66500000001</v>
      </c>
      <c r="R40" s="20">
        <v>278426.84000000003</v>
      </c>
      <c r="S40" s="1">
        <v>291277.47899999999</v>
      </c>
      <c r="T40" s="1">
        <v>300798.54700000002</v>
      </c>
      <c r="U40" s="1">
        <v>290924.91899999999</v>
      </c>
      <c r="V40" s="1">
        <v>344328.728</v>
      </c>
      <c r="W40" s="157">
        <v>222401.67199999999</v>
      </c>
      <c r="X40" s="157">
        <v>224269.34700000001</v>
      </c>
      <c r="Y40" s="157">
        <v>272115.99</v>
      </c>
      <c r="Z40" s="157">
        <v>272000.96299999999</v>
      </c>
      <c r="AA40" s="157">
        <v>275396.076</v>
      </c>
      <c r="AB40" s="157">
        <v>287711.56300000002</v>
      </c>
      <c r="AC40" s="157">
        <v>317275</v>
      </c>
      <c r="AD40" s="1">
        <v>329038.17</v>
      </c>
      <c r="AE40" s="1">
        <v>364482.30499999999</v>
      </c>
      <c r="AF40" s="1">
        <v>247891.57699999999</v>
      </c>
      <c r="AG40" s="1">
        <v>269909.57699999999</v>
      </c>
      <c r="AH40" s="1">
        <v>312855.58899999998</v>
      </c>
      <c r="AI40" s="1">
        <v>459558.245</v>
      </c>
      <c r="AK40" s="1">
        <v>570080.13399999996</v>
      </c>
    </row>
    <row r="41" spans="1:37" ht="12.75" customHeight="1">
      <c r="A41" s="1" t="s">
        <v>53</v>
      </c>
      <c r="J41" s="157">
        <v>72227.11</v>
      </c>
      <c r="M41" s="1">
        <v>80703.303</v>
      </c>
      <c r="O41" s="1">
        <v>106777.197</v>
      </c>
      <c r="R41" s="20">
        <v>117210.30100000001</v>
      </c>
      <c r="S41" s="1">
        <v>124210.274</v>
      </c>
      <c r="T41" s="1">
        <v>125557.376</v>
      </c>
      <c r="U41" s="1">
        <v>135680.83300000001</v>
      </c>
      <c r="V41" s="1">
        <v>113392.003</v>
      </c>
      <c r="W41" s="157">
        <v>124863.546</v>
      </c>
      <c r="X41" s="157">
        <v>129934.851</v>
      </c>
      <c r="Y41" s="157">
        <v>136632.58100000001</v>
      </c>
      <c r="Z41" s="157">
        <v>155393.81099999999</v>
      </c>
      <c r="AA41" s="157">
        <v>123344.00599999999</v>
      </c>
      <c r="AB41" s="157">
        <v>115001.072</v>
      </c>
      <c r="AC41" s="157">
        <v>102920</v>
      </c>
      <c r="AD41" s="1">
        <v>216235.174</v>
      </c>
      <c r="AE41" s="1">
        <v>259120.18700000001</v>
      </c>
      <c r="AF41" s="1">
        <v>279766.51</v>
      </c>
      <c r="AG41" s="1">
        <v>284182.46299999999</v>
      </c>
      <c r="AH41" s="1">
        <v>247064.144</v>
      </c>
      <c r="AI41" s="1">
        <v>254383.94399999999</v>
      </c>
      <c r="AK41" s="1">
        <v>330146.478</v>
      </c>
    </row>
    <row r="42" spans="1:37" ht="12.75" customHeight="1">
      <c r="A42" s="1" t="s">
        <v>54</v>
      </c>
      <c r="J42" s="157">
        <v>116746.469</v>
      </c>
      <c r="M42" s="1">
        <v>119863.285</v>
      </c>
      <c r="O42" s="1">
        <v>131266.68299999999</v>
      </c>
      <c r="R42" s="20">
        <v>151318.27600000001</v>
      </c>
      <c r="S42" s="1">
        <v>157678.07399999999</v>
      </c>
      <c r="T42" s="1">
        <v>145386.15400000001</v>
      </c>
      <c r="U42" s="1">
        <v>148828.52100000001</v>
      </c>
      <c r="V42" s="1">
        <v>151443.02900000001</v>
      </c>
      <c r="W42" s="157">
        <v>154580.76999999999</v>
      </c>
      <c r="X42" s="157">
        <v>172470.973</v>
      </c>
      <c r="Y42" s="157">
        <v>180629.12899999999</v>
      </c>
      <c r="Z42" s="157">
        <v>200635.25599999999</v>
      </c>
      <c r="AA42" s="157">
        <v>213126.53700000001</v>
      </c>
      <c r="AB42" s="157">
        <v>178066.41</v>
      </c>
      <c r="AC42" s="157">
        <v>182705</v>
      </c>
      <c r="AD42" s="1">
        <v>188359.25</v>
      </c>
      <c r="AE42" s="1">
        <v>207872.853</v>
      </c>
      <c r="AF42" s="1">
        <v>225597.00200000001</v>
      </c>
      <c r="AG42" s="1">
        <v>239733.41699999999</v>
      </c>
      <c r="AH42" s="1">
        <v>250869.93900000001</v>
      </c>
      <c r="AI42" s="1">
        <v>247173.65599999999</v>
      </c>
      <c r="AK42" s="1">
        <v>250227.70199999999</v>
      </c>
    </row>
    <row r="43" spans="1:37" ht="12.75" customHeight="1">
      <c r="A43" s="1" t="s">
        <v>55</v>
      </c>
      <c r="J43" s="157">
        <v>49452.080999999998</v>
      </c>
      <c r="M43" s="1">
        <v>62916.154999999999</v>
      </c>
      <c r="O43" s="1">
        <v>79431.118290000013</v>
      </c>
      <c r="R43" s="20">
        <v>86332.703999999998</v>
      </c>
      <c r="S43" s="1">
        <v>102328.41</v>
      </c>
      <c r="T43" s="1">
        <v>110583.07</v>
      </c>
      <c r="U43" s="1">
        <v>106967.91099999999</v>
      </c>
      <c r="V43" s="1">
        <v>104282.70600000001</v>
      </c>
      <c r="W43" s="157">
        <v>109668.61</v>
      </c>
      <c r="X43" s="157">
        <v>119102.97100000001</v>
      </c>
      <c r="Y43" s="157">
        <v>130930.678</v>
      </c>
      <c r="Z43" s="157">
        <v>139953.50700000001</v>
      </c>
      <c r="AA43" s="157">
        <v>146126.89799999999</v>
      </c>
      <c r="AB43" s="157">
        <v>137346.66</v>
      </c>
      <c r="AC43" s="157">
        <v>137634</v>
      </c>
      <c r="AD43" s="1">
        <v>131023.939</v>
      </c>
      <c r="AE43" s="1">
        <v>148732.57199999999</v>
      </c>
      <c r="AF43" s="1">
        <v>108267.448</v>
      </c>
      <c r="AG43" s="1">
        <v>109910.54700000001</v>
      </c>
      <c r="AH43" s="1">
        <v>158620.69</v>
      </c>
      <c r="AI43" s="1">
        <v>154241.70199999999</v>
      </c>
      <c r="AK43" s="1">
        <v>166154.45300000001</v>
      </c>
    </row>
    <row r="44" spans="1:37" ht="12.75" customHeight="1">
      <c r="A44" s="1" t="s">
        <v>56</v>
      </c>
      <c r="J44" s="157">
        <v>245368.21</v>
      </c>
      <c r="M44" s="1">
        <v>219118.94899999999</v>
      </c>
      <c r="O44" s="1">
        <v>259967.47812000001</v>
      </c>
      <c r="R44" s="20">
        <v>295087.67099999997</v>
      </c>
      <c r="S44" s="1">
        <v>313057.136</v>
      </c>
      <c r="T44" s="1">
        <v>283547.565</v>
      </c>
      <c r="U44" s="1">
        <v>304969.09899999999</v>
      </c>
      <c r="V44" s="1">
        <v>273053.47399999999</v>
      </c>
      <c r="W44" s="157">
        <v>287047.799</v>
      </c>
      <c r="X44" s="157">
        <v>278703.50699999998</v>
      </c>
      <c r="Y44" s="157">
        <v>248991.481</v>
      </c>
      <c r="Z44" s="157">
        <v>317085.01899999997</v>
      </c>
      <c r="AA44" s="157">
        <v>294283.38799999998</v>
      </c>
      <c r="AB44" s="157">
        <v>294192.255</v>
      </c>
      <c r="AC44" s="157">
        <v>293546</v>
      </c>
      <c r="AD44" s="1">
        <v>283506.31800000003</v>
      </c>
      <c r="AE44" s="1">
        <v>308422.91100000002</v>
      </c>
      <c r="AF44" s="1">
        <v>312372.68</v>
      </c>
      <c r="AG44" s="1">
        <v>339582.72600000002</v>
      </c>
      <c r="AH44" s="1">
        <v>349310.16600000003</v>
      </c>
      <c r="AI44" s="1">
        <v>393945.75199999998</v>
      </c>
      <c r="AK44" s="1">
        <v>408666.37800000003</v>
      </c>
    </row>
    <row r="45" spans="1:37" ht="12.75" customHeight="1">
      <c r="A45" s="1" t="s">
        <v>57</v>
      </c>
      <c r="J45" s="157">
        <v>172213.15100000001</v>
      </c>
      <c r="M45" s="1">
        <v>237734.52499999999</v>
      </c>
      <c r="O45" s="1">
        <v>298883.37488999998</v>
      </c>
      <c r="R45" s="20">
        <v>313936.76400000002</v>
      </c>
      <c r="S45" s="1">
        <v>342804.42800000001</v>
      </c>
      <c r="T45" s="1">
        <v>343159.375</v>
      </c>
      <c r="U45" s="1">
        <v>341605.33</v>
      </c>
      <c r="V45" s="1">
        <v>320636.21899999998</v>
      </c>
      <c r="W45" s="157">
        <v>316220</v>
      </c>
      <c r="X45" s="157">
        <v>338840</v>
      </c>
      <c r="Y45" s="157">
        <v>353801</v>
      </c>
      <c r="Z45" s="157">
        <v>392145</v>
      </c>
      <c r="AA45" s="157">
        <v>397912</v>
      </c>
      <c r="AB45" s="157">
        <v>355654</v>
      </c>
      <c r="AC45" s="157">
        <v>352808</v>
      </c>
      <c r="AD45" s="1">
        <v>315292</v>
      </c>
      <c r="AE45" s="1">
        <v>314757</v>
      </c>
      <c r="AF45" s="1">
        <v>258440</v>
      </c>
      <c r="AG45" s="1">
        <v>275601</v>
      </c>
      <c r="AH45" s="1">
        <v>400158</v>
      </c>
      <c r="AI45" s="1">
        <v>397566</v>
      </c>
      <c r="AK45" s="1">
        <v>429099</v>
      </c>
    </row>
    <row r="46" spans="1:37" ht="12.75" customHeight="1">
      <c r="A46" s="1" t="s">
        <v>58</v>
      </c>
      <c r="J46" s="157">
        <v>64891.307999999997</v>
      </c>
      <c r="M46" s="1">
        <v>30379.616000000002</v>
      </c>
      <c r="O46" s="1">
        <v>109236.958</v>
      </c>
      <c r="R46" s="20">
        <v>60747.264999999999</v>
      </c>
      <c r="S46" s="1">
        <v>76689.607000000004</v>
      </c>
      <c r="T46" s="1">
        <v>56537.4</v>
      </c>
      <c r="U46" s="1">
        <v>60024.686000000002</v>
      </c>
      <c r="V46" s="1">
        <v>59278.468999999997</v>
      </c>
      <c r="W46" s="157">
        <v>61455.697</v>
      </c>
      <c r="X46" s="157">
        <v>61376.095000000001</v>
      </c>
      <c r="Y46" s="157">
        <v>63633.033000000003</v>
      </c>
      <c r="Z46" s="157">
        <v>76721.231</v>
      </c>
      <c r="AA46" s="157">
        <v>72271.494999999995</v>
      </c>
      <c r="AB46" s="157">
        <v>73010.490999999995</v>
      </c>
      <c r="AC46" s="157">
        <v>112566</v>
      </c>
      <c r="AD46" s="1">
        <v>108494.534</v>
      </c>
      <c r="AE46" s="1">
        <v>107883.568</v>
      </c>
      <c r="AF46" s="1">
        <v>137890.128</v>
      </c>
      <c r="AG46" s="1">
        <v>147850.38099999999</v>
      </c>
      <c r="AH46" s="1">
        <v>159650.845</v>
      </c>
      <c r="AI46" s="1">
        <v>160368.70600000001</v>
      </c>
      <c r="AK46" s="1">
        <v>151986.16699999999</v>
      </c>
    </row>
    <row r="47" spans="1:37" ht="12.75" customHeight="1">
      <c r="A47" s="1" t="s">
        <v>59</v>
      </c>
      <c r="J47" s="157">
        <v>25757.611000000001</v>
      </c>
      <c r="M47" s="1">
        <v>24836.01</v>
      </c>
      <c r="O47" s="1">
        <v>39467.71</v>
      </c>
      <c r="R47" s="27">
        <v>86187.822</v>
      </c>
      <c r="S47" s="1">
        <v>94264.123999999996</v>
      </c>
      <c r="T47" s="1">
        <v>67146.937000000005</v>
      </c>
      <c r="U47" s="1">
        <v>67474.842999999993</v>
      </c>
      <c r="V47" s="1">
        <v>64502.057999999997</v>
      </c>
      <c r="W47" s="157">
        <v>65036.349000000002</v>
      </c>
      <c r="X47" s="157">
        <v>67601.406000000003</v>
      </c>
      <c r="Y47" s="157">
        <v>70990.866999999998</v>
      </c>
      <c r="Z47" s="157">
        <v>86564.286999999997</v>
      </c>
      <c r="AA47" s="157">
        <v>89866.576000000001</v>
      </c>
      <c r="AB47" s="157">
        <v>89484.149000000005</v>
      </c>
      <c r="AC47" s="157">
        <v>89391</v>
      </c>
      <c r="AD47" s="1">
        <v>89367.892000000007</v>
      </c>
      <c r="AE47" s="1">
        <v>90503.854000000007</v>
      </c>
      <c r="AF47" s="1">
        <v>85476.481</v>
      </c>
      <c r="AG47" s="1">
        <v>88718.611000000004</v>
      </c>
      <c r="AH47" s="1">
        <v>101699.899</v>
      </c>
      <c r="AI47" s="1">
        <v>100360.148</v>
      </c>
      <c r="AK47" s="1">
        <v>101591.15300000001</v>
      </c>
    </row>
    <row r="48" spans="1:37" ht="12.75" customHeight="1">
      <c r="A48" s="1" t="s">
        <v>60</v>
      </c>
      <c r="J48" s="157">
        <v>16014.184999999999</v>
      </c>
      <c r="M48" s="1">
        <v>18710.338</v>
      </c>
      <c r="O48" s="1">
        <v>20414.848000000002</v>
      </c>
      <c r="R48" s="20">
        <v>24996.534</v>
      </c>
      <c r="S48" s="1">
        <v>26849.297999999999</v>
      </c>
      <c r="T48" s="1">
        <v>26262.888999999999</v>
      </c>
      <c r="U48" s="1">
        <v>28129.772000000001</v>
      </c>
      <c r="V48" s="1">
        <v>27016.248</v>
      </c>
      <c r="W48" s="157">
        <v>27241.776999999998</v>
      </c>
      <c r="X48" s="157">
        <v>29204.948</v>
      </c>
      <c r="Y48" s="157">
        <v>29155.838</v>
      </c>
      <c r="Z48" s="157">
        <v>22768.911</v>
      </c>
      <c r="AA48" s="157">
        <v>33169.754000000001</v>
      </c>
      <c r="AB48" s="157">
        <v>37974.232000000004</v>
      </c>
      <c r="AC48" s="157">
        <v>39421</v>
      </c>
      <c r="AD48" s="1">
        <v>43370.49</v>
      </c>
      <c r="AE48" s="1">
        <v>44511.33</v>
      </c>
      <c r="AF48" s="1">
        <v>57968.097999999998</v>
      </c>
      <c r="AG48" s="1">
        <v>53646.557000000001</v>
      </c>
      <c r="AH48" s="1">
        <v>54975.385999999999</v>
      </c>
      <c r="AI48" s="1">
        <v>52555.612999999998</v>
      </c>
      <c r="AK48" s="1">
        <v>47317.464</v>
      </c>
    </row>
    <row r="49" spans="1:37" ht="12.75" customHeight="1">
      <c r="A49" s="1" t="s">
        <v>61</v>
      </c>
      <c r="J49" s="157">
        <v>208597.23300000001</v>
      </c>
      <c r="M49" s="1">
        <v>242478.42</v>
      </c>
      <c r="O49" s="1">
        <v>275236.34100000001</v>
      </c>
      <c r="R49" s="20">
        <v>362249.68199999997</v>
      </c>
      <c r="S49" s="1">
        <v>400347.87300000002</v>
      </c>
      <c r="T49" s="1">
        <v>344440.83299999998</v>
      </c>
      <c r="U49" s="1">
        <v>352844.67300000001</v>
      </c>
      <c r="V49" s="1">
        <v>351178.36700000003</v>
      </c>
      <c r="W49" s="157">
        <v>388844.16600000003</v>
      </c>
      <c r="X49" s="157">
        <v>396924.73</v>
      </c>
      <c r="Y49" s="157">
        <v>402591.05499999999</v>
      </c>
      <c r="Z49" s="157">
        <v>427932.141</v>
      </c>
      <c r="AA49" s="157">
        <v>552824.277</v>
      </c>
      <c r="AB49" s="157">
        <v>460354.95799999998</v>
      </c>
      <c r="AC49" s="157">
        <v>470234</v>
      </c>
      <c r="AD49" s="1">
        <v>477991.64600000001</v>
      </c>
      <c r="AE49" s="1">
        <v>498918.86499999999</v>
      </c>
      <c r="AF49" s="1">
        <v>462348.74599999998</v>
      </c>
      <c r="AG49" s="1">
        <v>461865.22600000002</v>
      </c>
      <c r="AH49" s="1">
        <v>529964.56299999997</v>
      </c>
      <c r="AI49" s="1">
        <v>557871.60499999998</v>
      </c>
      <c r="AK49" s="1">
        <v>555603.78500000003</v>
      </c>
    </row>
    <row r="50" spans="1:37" ht="12.75" customHeight="1">
      <c r="A50" s="1" t="s">
        <v>62</v>
      </c>
      <c r="J50" s="157">
        <v>0</v>
      </c>
      <c r="M50" s="1">
        <v>0</v>
      </c>
      <c r="O50" s="1">
        <v>3435.029</v>
      </c>
      <c r="R50" s="20">
        <v>10571.973</v>
      </c>
      <c r="S50" s="1">
        <v>10638.546</v>
      </c>
      <c r="T50" s="1">
        <v>9811.6939999999995</v>
      </c>
      <c r="U50" s="1">
        <v>9988.9349999999995</v>
      </c>
      <c r="V50" s="1">
        <v>9289.6370000000006</v>
      </c>
      <c r="W50" s="157">
        <v>9592.5660000000007</v>
      </c>
      <c r="X50" s="157">
        <v>10858.275</v>
      </c>
      <c r="Y50" s="157">
        <v>11412.442999999999</v>
      </c>
      <c r="Z50" s="157">
        <v>12399.361000000001</v>
      </c>
      <c r="AA50" s="157">
        <v>12985.800999999999</v>
      </c>
      <c r="AB50" s="157">
        <v>11751.227000000001</v>
      </c>
      <c r="AC50" s="157">
        <v>13144</v>
      </c>
      <c r="AD50" s="1">
        <v>12652.383</v>
      </c>
      <c r="AE50" s="1">
        <v>13420.504000000001</v>
      </c>
      <c r="AF50" s="1">
        <v>14557.397000000001</v>
      </c>
      <c r="AG50" s="1">
        <v>18890.879000000001</v>
      </c>
      <c r="AH50" s="1">
        <v>26757.606</v>
      </c>
      <c r="AI50" s="1">
        <v>16563.118999999999</v>
      </c>
      <c r="AK50" s="1">
        <v>17554.125</v>
      </c>
    </row>
    <row r="51" spans="1:37" ht="12.75" customHeight="1">
      <c r="A51" s="30" t="s">
        <v>63</v>
      </c>
      <c r="B51" s="30"/>
      <c r="C51" s="30"/>
      <c r="D51" s="30"/>
      <c r="E51" s="30"/>
      <c r="F51" s="30"/>
      <c r="G51" s="30"/>
      <c r="H51" s="30"/>
      <c r="I51" s="30"/>
      <c r="J51" s="158">
        <v>132550.30799999999</v>
      </c>
      <c r="K51" s="30"/>
      <c r="L51" s="30"/>
      <c r="M51" s="30">
        <v>150681.05100000001</v>
      </c>
      <c r="N51" s="30"/>
      <c r="O51" s="30">
        <v>150023.03700000001</v>
      </c>
      <c r="P51" s="30"/>
      <c r="Q51" s="30"/>
      <c r="R51" s="40">
        <v>160075.144</v>
      </c>
      <c r="S51" s="30">
        <v>172517.38</v>
      </c>
      <c r="T51" s="30">
        <v>167720.60399999999</v>
      </c>
      <c r="U51" s="30">
        <v>156898.894</v>
      </c>
      <c r="V51" s="30">
        <v>160627.04199999999</v>
      </c>
      <c r="W51" s="158">
        <v>161157.603</v>
      </c>
      <c r="X51" s="158">
        <v>161179.946</v>
      </c>
      <c r="Y51" s="158">
        <v>149335.55100000001</v>
      </c>
      <c r="Z51" s="158">
        <v>143861.976</v>
      </c>
      <c r="AA51" s="158">
        <v>147565.65299999999</v>
      </c>
      <c r="AB51" s="158">
        <v>161314.505</v>
      </c>
      <c r="AC51" s="158">
        <v>163043</v>
      </c>
      <c r="AD51" s="30">
        <v>125291.56</v>
      </c>
      <c r="AE51" s="30">
        <v>127354.67</v>
      </c>
      <c r="AF51" s="30">
        <v>52566.760999999999</v>
      </c>
      <c r="AG51" s="30">
        <v>107846.359</v>
      </c>
      <c r="AH51" s="30">
        <v>528990.94499999995</v>
      </c>
      <c r="AI51" s="30">
        <v>527234.049</v>
      </c>
      <c r="AJ51" s="30"/>
      <c r="AK51" s="30">
        <v>499832.98800000001</v>
      </c>
    </row>
    <row r="52" spans="1:37" ht="12.75" customHeight="1">
      <c r="A52" s="6" t="s">
        <v>64</v>
      </c>
      <c r="B52" s="58">
        <f>SUM(B54:B62)</f>
        <v>0</v>
      </c>
      <c r="C52" s="58">
        <f t="shared" ref="C52:AK52" si="14">SUM(C54:C62)</f>
        <v>0</v>
      </c>
      <c r="D52" s="58">
        <f t="shared" si="14"/>
        <v>0</v>
      </c>
      <c r="E52" s="58">
        <f t="shared" si="14"/>
        <v>0</v>
      </c>
      <c r="F52" s="58">
        <f t="shared" si="14"/>
        <v>0</v>
      </c>
      <c r="G52" s="58">
        <f t="shared" si="14"/>
        <v>0</v>
      </c>
      <c r="H52" s="58">
        <f t="shared" si="14"/>
        <v>0</v>
      </c>
      <c r="I52" s="58">
        <f t="shared" si="14"/>
        <v>0</v>
      </c>
      <c r="J52" s="58">
        <f t="shared" si="14"/>
        <v>784115.36600000004</v>
      </c>
      <c r="K52" s="58">
        <f t="shared" si="14"/>
        <v>0</v>
      </c>
      <c r="L52" s="58">
        <f t="shared" si="14"/>
        <v>0</v>
      </c>
      <c r="M52" s="58">
        <f t="shared" si="14"/>
        <v>921719.38699999999</v>
      </c>
      <c r="N52" s="58">
        <f t="shared" si="14"/>
        <v>0</v>
      </c>
      <c r="O52" s="58">
        <f t="shared" si="14"/>
        <v>999493.95926000003</v>
      </c>
      <c r="P52" s="58">
        <f t="shared" si="14"/>
        <v>0</v>
      </c>
      <c r="Q52" s="58">
        <f t="shared" si="14"/>
        <v>0</v>
      </c>
      <c r="R52" s="58">
        <f t="shared" si="14"/>
        <v>1115288.3709999998</v>
      </c>
      <c r="S52" s="58">
        <f t="shared" si="14"/>
        <v>1267692.82</v>
      </c>
      <c r="T52" s="58">
        <f t="shared" si="14"/>
        <v>1343998.4579999999</v>
      </c>
      <c r="U52" s="58">
        <f t="shared" si="14"/>
        <v>1333265.071</v>
      </c>
      <c r="V52" s="58">
        <f t="shared" si="14"/>
        <v>1366178.96</v>
      </c>
      <c r="W52" s="58">
        <f t="shared" si="14"/>
        <v>1409387.3199999998</v>
      </c>
      <c r="X52" s="58">
        <f t="shared" si="14"/>
        <v>1511033.709</v>
      </c>
      <c r="Y52" s="58">
        <f t="shared" si="14"/>
        <v>1608301.8650000002</v>
      </c>
      <c r="Z52" s="58">
        <f t="shared" si="14"/>
        <v>1715646.912</v>
      </c>
      <c r="AA52" s="58">
        <f t="shared" si="14"/>
        <v>1714741.1429999999</v>
      </c>
      <c r="AB52" s="58">
        <f t="shared" si="14"/>
        <v>1589308.9539999999</v>
      </c>
      <c r="AC52" s="58">
        <f t="shared" si="14"/>
        <v>1560910</v>
      </c>
      <c r="AD52" s="58">
        <f t="shared" si="14"/>
        <v>1578772.1740000001</v>
      </c>
      <c r="AE52" s="58">
        <f t="shared" si="14"/>
        <v>1707839.3800000001</v>
      </c>
      <c r="AF52" s="58">
        <f t="shared" si="14"/>
        <v>1811095.9210000001</v>
      </c>
      <c r="AG52" s="58">
        <f t="shared" si="14"/>
        <v>1842421.1350000005</v>
      </c>
      <c r="AH52" s="58">
        <f t="shared" si="14"/>
        <v>1833333.6330000001</v>
      </c>
      <c r="AI52" s="58">
        <f t="shared" si="14"/>
        <v>1879172.9169999997</v>
      </c>
      <c r="AJ52" s="58">
        <f t="shared" si="14"/>
        <v>0</v>
      </c>
      <c r="AK52" s="58">
        <f t="shared" si="14"/>
        <v>1937905.7919999999</v>
      </c>
    </row>
    <row r="53" spans="1:37" ht="12.75" customHeight="1">
      <c r="A53" s="6" t="s">
        <v>94</v>
      </c>
    </row>
    <row r="54" spans="1:37" ht="12.75" customHeight="1">
      <c r="A54" s="1" t="s">
        <v>65</v>
      </c>
      <c r="J54" s="157">
        <v>76090.073999999993</v>
      </c>
      <c r="M54" s="1">
        <v>80315.760999999999</v>
      </c>
      <c r="O54" s="1">
        <v>128011.32245000001</v>
      </c>
      <c r="R54" s="20">
        <v>142975.28400000001</v>
      </c>
      <c r="S54" s="1">
        <v>145003.174</v>
      </c>
      <c r="T54" s="1">
        <v>197932.44099999999</v>
      </c>
      <c r="U54" s="1">
        <v>161572.18599999999</v>
      </c>
      <c r="V54" s="1">
        <v>157393.492</v>
      </c>
      <c r="W54" s="157">
        <v>179761.26199999999</v>
      </c>
      <c r="X54" s="157">
        <v>190035.56599999999</v>
      </c>
      <c r="Y54" s="157">
        <v>209026.88</v>
      </c>
      <c r="Z54" s="157">
        <v>222613.394</v>
      </c>
      <c r="AA54" s="157">
        <v>221881.552</v>
      </c>
      <c r="AB54" s="157">
        <v>220218.554</v>
      </c>
      <c r="AC54" s="157">
        <v>225432</v>
      </c>
      <c r="AD54" s="1">
        <v>202562.424</v>
      </c>
      <c r="AE54" s="1">
        <v>209922.69699999999</v>
      </c>
      <c r="AF54" s="1">
        <v>237642.47</v>
      </c>
      <c r="AG54" s="1">
        <v>242971.57399999999</v>
      </c>
      <c r="AH54" s="1">
        <v>268655.18300000002</v>
      </c>
      <c r="AI54" s="1">
        <v>260557.58199999999</v>
      </c>
      <c r="AK54" s="1">
        <v>259181.084</v>
      </c>
    </row>
    <row r="55" spans="1:37" ht="12.75" customHeight="1">
      <c r="A55" s="1" t="s">
        <v>66</v>
      </c>
      <c r="J55" s="157">
        <v>21372.800999999999</v>
      </c>
      <c r="M55" s="1">
        <v>21710.403999999999</v>
      </c>
      <c r="O55" s="1">
        <v>25984.078000000001</v>
      </c>
      <c r="R55" s="20">
        <v>31072.558000000001</v>
      </c>
      <c r="S55" s="1">
        <v>35434.550000000003</v>
      </c>
      <c r="T55" s="1">
        <v>36274.324000000001</v>
      </c>
      <c r="U55" s="1">
        <v>37971.942000000003</v>
      </c>
      <c r="V55" s="1">
        <v>37119.052000000003</v>
      </c>
      <c r="W55" s="157">
        <v>39655.533000000003</v>
      </c>
      <c r="X55" s="157">
        <v>39653.483</v>
      </c>
      <c r="Y55" s="157">
        <v>43341.557999999997</v>
      </c>
      <c r="Z55" s="157">
        <v>47430.91</v>
      </c>
      <c r="AA55" s="157">
        <v>48280.824000000001</v>
      </c>
      <c r="AB55" s="157">
        <v>47421.252999999997</v>
      </c>
      <c r="AC55" s="157">
        <v>48991</v>
      </c>
      <c r="AD55" s="1">
        <v>49250.213000000003</v>
      </c>
      <c r="AE55" s="1">
        <v>53315.584999999999</v>
      </c>
      <c r="AF55" s="1">
        <v>51169.608999999997</v>
      </c>
      <c r="AG55" s="1">
        <v>50842.909</v>
      </c>
      <c r="AH55" s="1">
        <v>53057.010999999999</v>
      </c>
      <c r="AI55" s="1">
        <v>55997.222999999998</v>
      </c>
      <c r="AK55" s="1">
        <v>58924.819000000003</v>
      </c>
    </row>
    <row r="56" spans="1:37" ht="12.75" customHeight="1">
      <c r="A56" s="1" t="s">
        <v>67</v>
      </c>
      <c r="J56" s="157">
        <v>91667.811000000002</v>
      </c>
      <c r="M56" s="1">
        <v>152291.516</v>
      </c>
      <c r="O56" s="1">
        <v>199017.04699999999</v>
      </c>
      <c r="R56" s="20">
        <v>250573.06200000001</v>
      </c>
      <c r="S56" s="1">
        <v>294024.08</v>
      </c>
      <c r="T56" s="1">
        <v>287449.40999999997</v>
      </c>
      <c r="U56" s="1">
        <v>257143.33900000001</v>
      </c>
      <c r="V56" s="1">
        <v>228977.15599999999</v>
      </c>
      <c r="W56" s="157">
        <v>242617.84400000001</v>
      </c>
      <c r="X56" s="157">
        <v>271470.228</v>
      </c>
      <c r="Y56" s="157">
        <v>297082.48200000002</v>
      </c>
      <c r="Z56" s="157">
        <v>319803.81599999999</v>
      </c>
      <c r="AA56" s="157">
        <v>278539.06400000001</v>
      </c>
      <c r="AB56" s="157">
        <v>234001.473</v>
      </c>
      <c r="AC56" s="157">
        <v>273278</v>
      </c>
      <c r="AD56" s="1">
        <v>277887.19699999999</v>
      </c>
      <c r="AE56" s="1">
        <v>268970.69</v>
      </c>
      <c r="AF56" s="1">
        <v>310755.30599999998</v>
      </c>
      <c r="AG56" s="1">
        <v>329922.266</v>
      </c>
      <c r="AH56" s="1">
        <v>345721.83500000002</v>
      </c>
      <c r="AI56" s="1">
        <v>366789.663</v>
      </c>
      <c r="AK56" s="1">
        <v>394775.33199999999</v>
      </c>
    </row>
    <row r="57" spans="1:37" ht="12.75" customHeight="1">
      <c r="A57" s="1" t="s">
        <v>68</v>
      </c>
      <c r="J57" s="157">
        <v>15379.05</v>
      </c>
      <c r="M57" s="1">
        <v>14990.29</v>
      </c>
      <c r="O57" s="1">
        <v>19745.130710000001</v>
      </c>
      <c r="R57" s="27">
        <v>20635.651999999998</v>
      </c>
      <c r="S57" s="1">
        <v>20791.648000000001</v>
      </c>
      <c r="T57" s="1">
        <v>22344.596000000001</v>
      </c>
      <c r="U57" s="1">
        <v>21637.566999999999</v>
      </c>
      <c r="V57" s="1">
        <v>23314.843000000001</v>
      </c>
      <c r="W57" s="157">
        <v>24851.923999999999</v>
      </c>
      <c r="X57" s="157">
        <v>18941.822</v>
      </c>
      <c r="Y57" s="157">
        <v>26827.71</v>
      </c>
      <c r="Z57" s="157">
        <v>31667.092000000001</v>
      </c>
      <c r="AA57" s="157">
        <v>34297.46</v>
      </c>
      <c r="AB57" s="157">
        <v>33581.945</v>
      </c>
      <c r="AC57" s="157">
        <v>34592</v>
      </c>
      <c r="AD57" s="1">
        <v>29242.036</v>
      </c>
      <c r="AE57" s="1">
        <v>40724.415000000001</v>
      </c>
      <c r="AF57" s="1">
        <v>36639.203000000001</v>
      </c>
      <c r="AG57" s="1">
        <v>33226.908000000003</v>
      </c>
      <c r="AH57" s="1">
        <v>42500</v>
      </c>
      <c r="AI57" s="1">
        <v>43775</v>
      </c>
      <c r="AK57" s="1">
        <v>47075</v>
      </c>
    </row>
    <row r="58" spans="1:37" ht="12.75" customHeight="1">
      <c r="A58" s="1" t="s">
        <v>69</v>
      </c>
      <c r="J58" s="157">
        <v>82546.922999999995</v>
      </c>
      <c r="M58" s="1">
        <v>98051.775999999998</v>
      </c>
      <c r="O58" s="1">
        <v>100679.103</v>
      </c>
      <c r="R58" s="27">
        <v>132121.10699999999</v>
      </c>
      <c r="S58" s="1">
        <v>146294.72200000001</v>
      </c>
      <c r="T58" s="1">
        <v>156570.77799999999</v>
      </c>
      <c r="U58" s="1">
        <v>155272.78700000001</v>
      </c>
      <c r="V58" s="1">
        <v>165030.049</v>
      </c>
      <c r="W58" s="157">
        <v>163028.587</v>
      </c>
      <c r="X58" s="157">
        <v>162782.82500000001</v>
      </c>
      <c r="Y58" s="157">
        <v>158023.81400000001</v>
      </c>
      <c r="Z58" s="157">
        <v>169567.63500000001</v>
      </c>
      <c r="AA58" s="157">
        <v>151001.179</v>
      </c>
      <c r="AB58" s="157">
        <v>139358.20300000001</v>
      </c>
      <c r="AC58" s="157">
        <v>136820</v>
      </c>
      <c r="AD58" s="1">
        <v>135743.63</v>
      </c>
      <c r="AE58" s="1">
        <v>135744.60999999999</v>
      </c>
      <c r="AF58" s="1">
        <v>134949.204</v>
      </c>
      <c r="AG58" s="1">
        <v>134949.783</v>
      </c>
      <c r="AH58" s="1">
        <v>135021.158</v>
      </c>
      <c r="AI58" s="1">
        <v>137019.65599999999</v>
      </c>
      <c r="AK58" s="1">
        <v>145505.28700000001</v>
      </c>
    </row>
    <row r="59" spans="1:37" ht="12.75" customHeight="1">
      <c r="A59" s="1" t="s">
        <v>70</v>
      </c>
      <c r="J59" s="157">
        <v>344403.56</v>
      </c>
      <c r="M59" s="1">
        <v>392636.55200000003</v>
      </c>
      <c r="O59" s="1">
        <v>363375.38299999997</v>
      </c>
      <c r="R59" s="27">
        <v>353317.89</v>
      </c>
      <c r="S59" s="1">
        <v>425555.55</v>
      </c>
      <c r="T59" s="1">
        <v>415285.17599999998</v>
      </c>
      <c r="U59" s="1">
        <v>450540.90899999999</v>
      </c>
      <c r="V59" s="1">
        <v>498056.51400000002</v>
      </c>
      <c r="W59" s="157">
        <v>489987.158</v>
      </c>
      <c r="X59" s="157">
        <v>533938.01500000001</v>
      </c>
      <c r="Y59" s="157">
        <v>565094.10499999998</v>
      </c>
      <c r="Z59" s="157">
        <v>612267.37399999995</v>
      </c>
      <c r="AA59" s="157">
        <v>657995.09199999995</v>
      </c>
      <c r="AB59" s="157">
        <v>625869.74199999997</v>
      </c>
      <c r="AC59" s="157">
        <v>554721</v>
      </c>
      <c r="AD59" s="1">
        <v>599927.69700000004</v>
      </c>
      <c r="AE59" s="1">
        <v>707353.84</v>
      </c>
      <c r="AF59" s="1">
        <v>748603.04500000004</v>
      </c>
      <c r="AG59" s="1">
        <v>751503.57299999997</v>
      </c>
      <c r="AH59" s="1">
        <v>681899.32400000002</v>
      </c>
      <c r="AI59" s="1">
        <v>700512.179</v>
      </c>
      <c r="AK59" s="1">
        <v>705466.66200000001</v>
      </c>
    </row>
    <row r="60" spans="1:37" ht="12.75" customHeight="1">
      <c r="A60" s="1" t="s">
        <v>71</v>
      </c>
      <c r="J60" s="157">
        <v>123679.22199999999</v>
      </c>
      <c r="M60" s="1">
        <v>133332.78700000001</v>
      </c>
      <c r="O60" s="1">
        <v>132382.4241</v>
      </c>
      <c r="R60" s="20">
        <v>147906.69500000001</v>
      </c>
      <c r="S60" s="1">
        <v>163465.073</v>
      </c>
      <c r="T60" s="1">
        <v>183670.283</v>
      </c>
      <c r="U60" s="1">
        <v>205471.16899999999</v>
      </c>
      <c r="V60" s="1">
        <v>212036.408</v>
      </c>
      <c r="W60" s="157">
        <v>223303.524</v>
      </c>
      <c r="X60" s="157">
        <v>244362.80600000001</v>
      </c>
      <c r="Y60" s="157">
        <v>257162.09700000001</v>
      </c>
      <c r="Z60" s="157">
        <v>259736.38200000001</v>
      </c>
      <c r="AA60" s="157">
        <v>266249.89500000002</v>
      </c>
      <c r="AB60" s="157">
        <v>240723.67199999999</v>
      </c>
      <c r="AC60" s="157">
        <v>239096</v>
      </c>
      <c r="AD60" s="1">
        <v>234971.15900000001</v>
      </c>
      <c r="AE60" s="1">
        <v>236232.598</v>
      </c>
      <c r="AF60" s="1">
        <v>234436.84599999999</v>
      </c>
      <c r="AG60" s="1">
        <v>240890.573</v>
      </c>
      <c r="AH60" s="1">
        <v>253932.611</v>
      </c>
      <c r="AI60" s="1">
        <v>260646.065</v>
      </c>
      <c r="AK60" s="1">
        <v>270984.95500000002</v>
      </c>
    </row>
    <row r="61" spans="1:37" ht="12.75" customHeight="1">
      <c r="A61" s="1" t="s">
        <v>72</v>
      </c>
      <c r="J61" s="157">
        <v>24097.424999999999</v>
      </c>
      <c r="M61" s="1">
        <v>27246.800999999999</v>
      </c>
      <c r="O61" s="1">
        <v>29068.571</v>
      </c>
      <c r="R61" s="20">
        <v>35215.923000000003</v>
      </c>
      <c r="S61" s="1">
        <v>35215.923000000003</v>
      </c>
      <c r="T61" s="1">
        <v>40743.15</v>
      </c>
      <c r="U61" s="1">
        <v>39601.400999999998</v>
      </c>
      <c r="V61" s="1">
        <v>40114.595999999998</v>
      </c>
      <c r="W61" s="157">
        <v>41928.112000000001</v>
      </c>
      <c r="X61" s="157">
        <v>45445.377999999997</v>
      </c>
      <c r="Y61" s="157">
        <v>47113.49</v>
      </c>
      <c r="Z61" s="157">
        <v>47820.29</v>
      </c>
      <c r="AA61" s="157">
        <v>44808.724999999999</v>
      </c>
      <c r="AB61" s="157">
        <v>42719.728999999999</v>
      </c>
      <c r="AC61" s="157">
        <v>42884</v>
      </c>
      <c r="AD61" s="1">
        <v>44482.656999999999</v>
      </c>
      <c r="AE61" s="1">
        <v>44169.98</v>
      </c>
      <c r="AF61" s="1">
        <v>44433.286</v>
      </c>
      <c r="AG61" s="1">
        <v>45542.769</v>
      </c>
      <c r="AH61" s="1">
        <v>47721.998</v>
      </c>
      <c r="AI61" s="1">
        <v>48936.035000000003</v>
      </c>
      <c r="AK61" s="1">
        <v>50528.14</v>
      </c>
    </row>
    <row r="62" spans="1:37" ht="12.75" customHeight="1">
      <c r="A62" s="30" t="s">
        <v>73</v>
      </c>
      <c r="B62" s="30"/>
      <c r="C62" s="30"/>
      <c r="D62" s="30"/>
      <c r="E62" s="30"/>
      <c r="F62" s="30"/>
      <c r="G62" s="30"/>
      <c r="H62" s="30"/>
      <c r="I62" s="30"/>
      <c r="J62" s="158">
        <v>4878.5</v>
      </c>
      <c r="K62" s="30"/>
      <c r="L62" s="30"/>
      <c r="M62" s="30">
        <v>1143.5</v>
      </c>
      <c r="N62" s="30"/>
      <c r="O62" s="30">
        <v>1230.9000000000001</v>
      </c>
      <c r="P62" s="30"/>
      <c r="Q62" s="30"/>
      <c r="R62" s="40">
        <v>1470.2</v>
      </c>
      <c r="S62" s="30">
        <v>1908.1</v>
      </c>
      <c r="T62" s="30">
        <v>3728.3</v>
      </c>
      <c r="U62" s="30">
        <v>4053.7710000000002</v>
      </c>
      <c r="V62" s="30">
        <v>4136.8500000000004</v>
      </c>
      <c r="W62" s="158">
        <v>4253.3760000000002</v>
      </c>
      <c r="X62" s="158">
        <v>4403.5860000000002</v>
      </c>
      <c r="Y62" s="158">
        <v>4629.7290000000003</v>
      </c>
      <c r="Z62" s="158">
        <v>4740.0190000000002</v>
      </c>
      <c r="AA62" s="158">
        <v>11687.352000000001</v>
      </c>
      <c r="AB62" s="158">
        <v>5414.3829999999998</v>
      </c>
      <c r="AC62" s="158">
        <v>5096</v>
      </c>
      <c r="AD62" s="1">
        <v>4705.1610000000001</v>
      </c>
      <c r="AE62" s="1">
        <v>11404.965</v>
      </c>
      <c r="AF62" s="30">
        <v>12466.951999999999</v>
      </c>
      <c r="AG62" s="30">
        <v>12570.78</v>
      </c>
      <c r="AH62" s="30">
        <v>4824.5129999999999</v>
      </c>
      <c r="AI62" s="30">
        <v>4939.5140000000001</v>
      </c>
      <c r="AJ62" s="30"/>
      <c r="AK62" s="30">
        <v>5464.5129999999999</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v>0</v>
      </c>
      <c r="AB63" s="159">
        <v>0</v>
      </c>
      <c r="AC63" s="159">
        <v>0</v>
      </c>
      <c r="AD63" s="159">
        <v>0</v>
      </c>
      <c r="AE63" s="159">
        <v>0</v>
      </c>
      <c r="AF63" s="30"/>
      <c r="AG63" s="30"/>
      <c r="AH63" s="30"/>
      <c r="AI63" s="30"/>
      <c r="AJ63" s="30"/>
      <c r="AK63" s="30"/>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8"/>
  </sheetPr>
  <dimension ref="A1:HB92"/>
  <sheetViews>
    <sheetView zoomScaleNormal="100" workbookViewId="0">
      <pane xSplit="1" ySplit="3" topLeftCell="AB4" activePane="bottomRight" state="frozen"/>
      <selection pane="topRight" activeCell="O44" sqref="O44"/>
      <selection pane="bottomLeft" activeCell="O44" sqref="O44"/>
      <selection pane="bottomRight" activeCell="AJ14" sqref="AJ14"/>
    </sheetView>
  </sheetViews>
  <sheetFormatPr defaultColWidth="9.7109375" defaultRowHeight="12.75"/>
  <cols>
    <col min="1" max="1" width="19.5703125" style="1" bestFit="1" customWidth="1"/>
    <col min="2" max="22" width="13.85546875" style="1" customWidth="1"/>
    <col min="23" max="29" width="13.85546875" style="10" customWidth="1"/>
    <col min="30" max="33" width="9.7109375" style="1"/>
    <col min="34" max="37" width="10.285156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141</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1">
        <v>1668124</v>
      </c>
      <c r="C4" s="1">
        <v>1803286</v>
      </c>
      <c r="D4" s="1">
        <v>1979525</v>
      </c>
      <c r="I4" s="1">
        <v>2937994.2790000001</v>
      </c>
      <c r="J4" s="59">
        <f>+J5+J23+J38+J52+J63</f>
        <v>2938461.1489999997</v>
      </c>
      <c r="K4" s="42">
        <v>3391107.7080000001</v>
      </c>
      <c r="L4" s="42">
        <v>3815250.111</v>
      </c>
      <c r="M4" s="59">
        <f>+M5+M23+M38+M52+M63</f>
        <v>3635006.2800000003</v>
      </c>
      <c r="N4" s="42">
        <v>4118681.443</v>
      </c>
      <c r="O4" s="59">
        <f>+O5+O23+O38+O52+O63</f>
        <v>4223805.8438400002</v>
      </c>
      <c r="R4" s="59">
        <f t="shared" ref="R4:AA4" si="0">+R5+R23+R38+R52+R63</f>
        <v>4238761.1689999998</v>
      </c>
      <c r="S4" s="59">
        <f t="shared" si="0"/>
        <v>4614899.1369999992</v>
      </c>
      <c r="T4" s="59">
        <f t="shared" si="0"/>
        <v>5188291.1380000003</v>
      </c>
      <c r="U4" s="59">
        <f t="shared" si="0"/>
        <v>5816957.7430000007</v>
      </c>
      <c r="V4" s="59">
        <f t="shared" si="0"/>
        <v>6253053.1740000006</v>
      </c>
      <c r="W4" s="59">
        <f t="shared" si="0"/>
        <v>6878201.7579999994</v>
      </c>
      <c r="X4" s="59">
        <f t="shared" si="0"/>
        <v>7394730.7120000003</v>
      </c>
      <c r="Y4" s="59">
        <f t="shared" si="0"/>
        <v>7842461.1280000005</v>
      </c>
      <c r="Z4" s="59">
        <f t="shared" si="0"/>
        <v>8325143.949</v>
      </c>
      <c r="AA4" s="59">
        <f t="shared" si="0"/>
        <v>8825091.284</v>
      </c>
      <c r="AB4" s="59">
        <f t="shared" ref="AB4:AC4" si="1">+AB5+AB23+AB38+AB52+AB63</f>
        <v>9085502.8489999995</v>
      </c>
      <c r="AC4" s="59">
        <f t="shared" si="1"/>
        <v>9225381</v>
      </c>
      <c r="AD4" s="59">
        <f t="shared" ref="AD4:AE4" si="2">+AD5+AD23+AD38+AD52+AD63</f>
        <v>9370181.1450000014</v>
      </c>
      <c r="AE4" s="59">
        <f t="shared" si="2"/>
        <v>9774541.8000000007</v>
      </c>
      <c r="AF4" s="59">
        <f t="shared" ref="AF4:AG4" si="3">+AF5+AF23+AF38+AF52+AF63</f>
        <v>7574008.0220000008</v>
      </c>
      <c r="AG4" s="59">
        <f t="shared" si="3"/>
        <v>7852787.1970000006</v>
      </c>
      <c r="AH4" s="59">
        <f t="shared" ref="AH4:AI4" si="4">+AH5+AH23+AH38+AH52+AH63</f>
        <v>11076525.965</v>
      </c>
      <c r="AI4" s="59">
        <f t="shared" si="4"/>
        <v>11503544.415999999</v>
      </c>
      <c r="AJ4" s="59">
        <f t="shared" ref="AJ4:AK4" si="5">+AJ5+AJ23+AJ38+AJ52+AJ63</f>
        <v>0</v>
      </c>
      <c r="AK4" s="59">
        <f t="shared" si="5"/>
        <v>12524235.928000001</v>
      </c>
    </row>
    <row r="5" spans="1:39" ht="12.75" customHeight="1">
      <c r="A5" s="1" t="s">
        <v>20</v>
      </c>
      <c r="B5" s="58">
        <f>SUM(B7:B22)</f>
        <v>214813</v>
      </c>
      <c r="C5" s="58">
        <f t="shared" ref="C5:AA5" si="6">SUM(C7:C22)</f>
        <v>258879</v>
      </c>
      <c r="D5" s="58">
        <f t="shared" si="6"/>
        <v>289868</v>
      </c>
      <c r="E5" s="58">
        <f t="shared" si="6"/>
        <v>0</v>
      </c>
      <c r="F5" s="58">
        <f t="shared" si="6"/>
        <v>0</v>
      </c>
      <c r="G5" s="58">
        <f t="shared" si="6"/>
        <v>0</v>
      </c>
      <c r="H5" s="58">
        <f t="shared" si="6"/>
        <v>0</v>
      </c>
      <c r="I5" s="58">
        <f t="shared" si="6"/>
        <v>468844.15700000001</v>
      </c>
      <c r="J5" s="58">
        <f t="shared" si="6"/>
        <v>440526.93700000003</v>
      </c>
      <c r="K5" s="58">
        <f t="shared" si="6"/>
        <v>495719.56700000004</v>
      </c>
      <c r="L5" s="58">
        <f t="shared" si="6"/>
        <v>526273.85199999996</v>
      </c>
      <c r="M5" s="58">
        <f t="shared" si="6"/>
        <v>480423.99599999993</v>
      </c>
      <c r="N5" s="58">
        <f t="shared" si="6"/>
        <v>602467.16500000004</v>
      </c>
      <c r="O5" s="58">
        <f t="shared" si="6"/>
        <v>618598.91442000004</v>
      </c>
      <c r="P5" s="58">
        <f t="shared" si="6"/>
        <v>0</v>
      </c>
      <c r="Q5" s="58">
        <f t="shared" si="6"/>
        <v>0</v>
      </c>
      <c r="R5" s="58">
        <f t="shared" si="6"/>
        <v>705173.28599999996</v>
      </c>
      <c r="S5" s="58">
        <f t="shared" si="6"/>
        <v>896048.75399999996</v>
      </c>
      <c r="T5" s="58">
        <f t="shared" si="6"/>
        <v>916681.71499999997</v>
      </c>
      <c r="U5" s="58">
        <f t="shared" si="6"/>
        <v>1120254.047</v>
      </c>
      <c r="V5" s="58">
        <f t="shared" si="6"/>
        <v>1200780.5680000002</v>
      </c>
      <c r="W5" s="58">
        <f t="shared" si="6"/>
        <v>1269076.9099999999</v>
      </c>
      <c r="X5" s="58">
        <f t="shared" si="6"/>
        <v>1396427.7729999998</v>
      </c>
      <c r="Y5" s="58">
        <f t="shared" si="6"/>
        <v>1537913.9930000002</v>
      </c>
      <c r="Z5" s="58">
        <f t="shared" si="6"/>
        <v>1674521.0889999997</v>
      </c>
      <c r="AA5" s="58">
        <f t="shared" si="6"/>
        <v>1921421.5129999998</v>
      </c>
      <c r="AB5" s="58">
        <f t="shared" ref="AB5:AC5" si="7">SUM(AB7:AB22)</f>
        <v>1984901.4310000001</v>
      </c>
      <c r="AC5" s="58">
        <f t="shared" si="7"/>
        <v>2026371</v>
      </c>
      <c r="AD5" s="58">
        <f t="shared" ref="AD5:AE5" si="8">SUM(AD7:AD22)</f>
        <v>2089445.362</v>
      </c>
      <c r="AE5" s="58">
        <f t="shared" si="8"/>
        <v>2161122.1800000002</v>
      </c>
      <c r="AF5" s="58">
        <f t="shared" ref="AF5:AG5" si="9">SUM(AF7:AF22)</f>
        <v>2300765.15</v>
      </c>
      <c r="AG5" s="58">
        <f t="shared" si="9"/>
        <v>2467739.2860000003</v>
      </c>
      <c r="AH5" s="58">
        <f t="shared" ref="AH5:AI5" si="10">SUM(AH7:AH22)</f>
        <v>2621568.6500000004</v>
      </c>
      <c r="AI5" s="58">
        <f t="shared" si="10"/>
        <v>2758404.5260000005</v>
      </c>
      <c r="AJ5" s="58">
        <f t="shared" ref="AJ5:AK5" si="11">SUM(AJ7:AJ22)</f>
        <v>0</v>
      </c>
      <c r="AK5" s="58">
        <f t="shared" si="11"/>
        <v>3079884.0510000004</v>
      </c>
    </row>
    <row r="6" spans="1:39" ht="12.75" customHeight="1">
      <c r="A6" s="6" t="s">
        <v>94</v>
      </c>
      <c r="J6" s="157"/>
      <c r="R6" s="20"/>
      <c r="T6" s="51"/>
    </row>
    <row r="7" spans="1:39" ht="12.75" customHeight="1">
      <c r="A7" s="1" t="s">
        <v>21</v>
      </c>
      <c r="B7" s="1">
        <v>284</v>
      </c>
      <c r="C7" s="1">
        <v>773</v>
      </c>
      <c r="D7" s="1">
        <v>33</v>
      </c>
      <c r="I7" s="1">
        <v>2382.308</v>
      </c>
      <c r="J7" s="157">
        <v>1597.49</v>
      </c>
      <c r="K7" s="1">
        <v>366.96600000000001</v>
      </c>
      <c r="L7" s="1">
        <v>544.375</v>
      </c>
      <c r="M7" s="1">
        <v>1056.4549999999999</v>
      </c>
      <c r="N7" s="1">
        <v>1552.066</v>
      </c>
      <c r="O7" s="1">
        <v>1784.242</v>
      </c>
      <c r="R7" s="27">
        <v>2012.63</v>
      </c>
      <c r="S7" s="1">
        <v>2032.7809999999999</v>
      </c>
      <c r="T7" s="51">
        <v>0</v>
      </c>
      <c r="U7" s="1">
        <v>0</v>
      </c>
      <c r="V7" s="1">
        <v>712.35799999999995</v>
      </c>
      <c r="W7" s="157">
        <v>666.62800000000004</v>
      </c>
      <c r="X7" s="157">
        <v>733.41600000000005</v>
      </c>
      <c r="Y7" s="157">
        <v>10</v>
      </c>
      <c r="Z7" s="157">
        <v>0</v>
      </c>
      <c r="AA7" s="157">
        <v>1206.2829999999999</v>
      </c>
      <c r="AB7" s="157">
        <v>1123.559</v>
      </c>
      <c r="AC7" s="157">
        <v>1204</v>
      </c>
      <c r="AD7" s="1">
        <v>1277.347</v>
      </c>
      <c r="AE7" s="1">
        <v>1337.248</v>
      </c>
      <c r="AF7" s="1">
        <v>1894.623</v>
      </c>
      <c r="AG7" s="1">
        <v>1862.3710000000001</v>
      </c>
      <c r="AH7" s="1">
        <v>1951.221</v>
      </c>
      <c r="AI7" s="1">
        <v>3005.0129999999999</v>
      </c>
      <c r="AK7" s="1">
        <v>2912.192</v>
      </c>
    </row>
    <row r="8" spans="1:39" ht="12.75" customHeight="1">
      <c r="A8" s="1" t="s">
        <v>22</v>
      </c>
      <c r="B8" s="1">
        <v>0</v>
      </c>
      <c r="C8" s="1">
        <v>0</v>
      </c>
      <c r="D8" s="1">
        <v>0</v>
      </c>
      <c r="I8" s="1">
        <v>216.47900000000001</v>
      </c>
      <c r="J8" s="157">
        <v>145.048</v>
      </c>
      <c r="K8" s="1">
        <v>473.10500000000002</v>
      </c>
      <c r="L8" s="1">
        <v>2512.61</v>
      </c>
      <c r="M8" s="1">
        <v>4701.607</v>
      </c>
      <c r="N8" s="1">
        <v>2523.5650000000001</v>
      </c>
      <c r="O8" s="1">
        <v>3567.1170000000002</v>
      </c>
      <c r="R8" s="27">
        <v>5377.9359999999997</v>
      </c>
      <c r="S8" s="1">
        <v>7515.598</v>
      </c>
      <c r="T8" s="51">
        <v>10661.236999999999</v>
      </c>
      <c r="U8" s="1">
        <v>12858.547</v>
      </c>
      <c r="V8" s="1">
        <v>15692.206</v>
      </c>
      <c r="W8" s="157">
        <v>16962.341</v>
      </c>
      <c r="X8" s="157">
        <v>18103.22</v>
      </c>
      <c r="Y8" s="157">
        <v>24579.244999999999</v>
      </c>
      <c r="Z8" s="157">
        <v>27250.108</v>
      </c>
      <c r="AA8" s="157">
        <v>22069.577000000001</v>
      </c>
      <c r="AB8" s="157">
        <v>25489.237000000001</v>
      </c>
      <c r="AC8" s="157">
        <v>24978</v>
      </c>
      <c r="AD8" s="1">
        <v>25472.441999999999</v>
      </c>
      <c r="AE8" s="1">
        <v>25204.850999999999</v>
      </c>
      <c r="AF8" s="1">
        <v>26624.236000000001</v>
      </c>
      <c r="AG8" s="1">
        <v>26981.147000000001</v>
      </c>
      <c r="AH8" s="1">
        <v>27679.739000000001</v>
      </c>
      <c r="AI8" s="1">
        <v>27951.333999999999</v>
      </c>
      <c r="AK8" s="1">
        <v>30582.042000000001</v>
      </c>
    </row>
    <row r="9" spans="1:39" ht="12.75" customHeight="1">
      <c r="A9" s="1" t="s">
        <v>23</v>
      </c>
      <c r="D9" s="1">
        <v>0</v>
      </c>
      <c r="J9" s="157">
        <v>0</v>
      </c>
      <c r="M9" s="1">
        <v>0</v>
      </c>
      <c r="N9" s="1">
        <v>12378.86</v>
      </c>
      <c r="O9" s="1">
        <v>0</v>
      </c>
      <c r="R9" s="27">
        <v>0</v>
      </c>
      <c r="S9" s="38">
        <v>0</v>
      </c>
      <c r="T9" s="52">
        <v>0</v>
      </c>
      <c r="U9" s="38">
        <v>0</v>
      </c>
      <c r="V9" s="38">
        <v>0</v>
      </c>
      <c r="W9" s="157">
        <v>0</v>
      </c>
      <c r="X9" s="157">
        <v>0</v>
      </c>
      <c r="Y9" s="157">
        <v>0</v>
      </c>
      <c r="Z9" s="157">
        <v>0</v>
      </c>
      <c r="AA9" s="157">
        <v>0</v>
      </c>
      <c r="AB9" s="157">
        <v>0</v>
      </c>
      <c r="AC9" s="157">
        <v>0</v>
      </c>
      <c r="AD9" s="1">
        <v>0</v>
      </c>
      <c r="AE9" s="1">
        <v>0</v>
      </c>
      <c r="AF9" s="1">
        <v>0</v>
      </c>
      <c r="AG9" s="1">
        <v>0</v>
      </c>
      <c r="AH9" s="1">
        <v>0</v>
      </c>
      <c r="AI9" s="1">
        <v>0</v>
      </c>
      <c r="AK9" s="1">
        <v>0</v>
      </c>
    </row>
    <row r="10" spans="1:39" ht="12.75" customHeight="1">
      <c r="A10" s="1" t="s">
        <v>24</v>
      </c>
      <c r="B10" s="1">
        <v>162</v>
      </c>
      <c r="C10" s="1">
        <v>501</v>
      </c>
      <c r="D10" s="1">
        <v>4236</v>
      </c>
      <c r="I10" s="1">
        <v>1850.1010000000001</v>
      </c>
      <c r="J10" s="157">
        <v>6682.9359999999997</v>
      </c>
      <c r="K10" s="1">
        <v>4489.7209999999995</v>
      </c>
      <c r="L10" s="1">
        <v>4676.5919999999996</v>
      </c>
      <c r="M10" s="1">
        <v>3750.7089999999998</v>
      </c>
      <c r="N10" s="1">
        <v>115.771</v>
      </c>
      <c r="O10" s="1">
        <v>51.521000000000001</v>
      </c>
      <c r="R10" s="27">
        <v>0</v>
      </c>
      <c r="S10" s="1">
        <v>28618.047999999999</v>
      </c>
      <c r="T10" s="51">
        <v>0</v>
      </c>
      <c r="U10" s="1">
        <v>0</v>
      </c>
      <c r="V10" s="1">
        <v>0</v>
      </c>
      <c r="W10" s="157">
        <v>0</v>
      </c>
      <c r="X10" s="157">
        <v>0</v>
      </c>
      <c r="Y10" s="157">
        <v>0</v>
      </c>
      <c r="Z10" s="157">
        <v>0</v>
      </c>
      <c r="AA10" s="157">
        <v>0</v>
      </c>
      <c r="AB10" s="157">
        <v>0</v>
      </c>
      <c r="AC10" s="157">
        <v>0</v>
      </c>
      <c r="AD10" s="1">
        <v>0</v>
      </c>
      <c r="AE10" s="1">
        <v>0</v>
      </c>
      <c r="AF10" s="1">
        <v>0</v>
      </c>
      <c r="AG10" s="1">
        <v>0</v>
      </c>
      <c r="AH10" s="1">
        <v>0</v>
      </c>
      <c r="AI10" s="1">
        <v>0</v>
      </c>
      <c r="AK10" s="1">
        <v>0</v>
      </c>
    </row>
    <row r="11" spans="1:39" ht="12.75" customHeight="1">
      <c r="A11" s="1" t="s">
        <v>25</v>
      </c>
      <c r="B11" s="1">
        <v>4281</v>
      </c>
      <c r="C11" s="1">
        <v>4463</v>
      </c>
      <c r="D11" s="1">
        <v>5173</v>
      </c>
      <c r="I11" s="1">
        <v>16944.814999999999</v>
      </c>
      <c r="J11" s="157">
        <v>11329.58</v>
      </c>
      <c r="K11" s="1">
        <v>9868.8140000000003</v>
      </c>
      <c r="L11" s="1">
        <v>7831.9279999999999</v>
      </c>
      <c r="M11" s="1">
        <v>8845.7099999999991</v>
      </c>
      <c r="N11" s="1">
        <v>7190.5029999999997</v>
      </c>
      <c r="O11" s="1">
        <v>5251.8549999999996</v>
      </c>
      <c r="R11" s="27">
        <v>5862.973</v>
      </c>
      <c r="S11" s="1">
        <v>7045.8490000000002</v>
      </c>
      <c r="T11" s="51">
        <v>15952.736999999999</v>
      </c>
      <c r="U11" s="1">
        <v>9518.2880000000005</v>
      </c>
      <c r="V11" s="1">
        <v>5541.2470000000003</v>
      </c>
      <c r="W11" s="157">
        <v>0</v>
      </c>
      <c r="X11" s="157">
        <v>0</v>
      </c>
      <c r="Y11" s="157">
        <v>0</v>
      </c>
      <c r="Z11" s="157">
        <v>437.197</v>
      </c>
      <c r="AA11" s="157">
        <v>0</v>
      </c>
      <c r="AB11" s="157">
        <v>0</v>
      </c>
      <c r="AC11" s="157">
        <v>23</v>
      </c>
      <c r="AD11" s="1">
        <v>44.213000000000001</v>
      </c>
      <c r="AE11" s="1">
        <v>68.528999999999996</v>
      </c>
      <c r="AF11" s="1">
        <v>0</v>
      </c>
      <c r="AG11" s="1">
        <v>0</v>
      </c>
      <c r="AH11" s="1">
        <v>23.029</v>
      </c>
      <c r="AI11" s="1">
        <v>0</v>
      </c>
      <c r="AK11" s="1">
        <v>0</v>
      </c>
    </row>
    <row r="12" spans="1:39" ht="12.75" customHeight="1">
      <c r="A12" s="1" t="s">
        <v>26</v>
      </c>
      <c r="B12" s="1">
        <v>149</v>
      </c>
      <c r="C12" s="1">
        <v>147</v>
      </c>
      <c r="D12" s="1">
        <v>92</v>
      </c>
      <c r="I12" s="1">
        <v>0</v>
      </c>
      <c r="J12" s="157">
        <v>0</v>
      </c>
      <c r="K12" s="1">
        <v>76</v>
      </c>
      <c r="L12" s="1">
        <v>76</v>
      </c>
      <c r="M12" s="1">
        <v>0</v>
      </c>
      <c r="N12" s="1">
        <v>0</v>
      </c>
      <c r="O12" s="1">
        <v>0</v>
      </c>
      <c r="R12" s="20">
        <v>0</v>
      </c>
      <c r="S12" s="1">
        <v>6969.3609999999999</v>
      </c>
      <c r="T12" s="51">
        <v>0</v>
      </c>
      <c r="U12" s="1">
        <v>0</v>
      </c>
      <c r="V12" s="1">
        <v>0</v>
      </c>
      <c r="W12" s="157">
        <v>37.5</v>
      </c>
      <c r="X12" s="157">
        <v>37</v>
      </c>
      <c r="Y12" s="157">
        <v>40</v>
      </c>
      <c r="Z12" s="157">
        <v>42.725000000000001</v>
      </c>
      <c r="AA12" s="157">
        <v>42.85</v>
      </c>
      <c r="AB12" s="157">
        <v>42.85</v>
      </c>
      <c r="AC12" s="157">
        <v>44</v>
      </c>
      <c r="AD12" s="1">
        <v>44.13</v>
      </c>
      <c r="AE12" s="1">
        <v>37.642000000000003</v>
      </c>
      <c r="AF12" s="1">
        <v>39.027999999999999</v>
      </c>
      <c r="AG12" s="1">
        <v>39.42</v>
      </c>
      <c r="AH12" s="1">
        <v>0</v>
      </c>
      <c r="AI12" s="1">
        <v>0</v>
      </c>
      <c r="AK12" s="1">
        <v>0</v>
      </c>
    </row>
    <row r="13" spans="1:39" ht="12.75" customHeight="1">
      <c r="A13" s="1" t="s">
        <v>27</v>
      </c>
      <c r="B13" s="1">
        <v>810</v>
      </c>
      <c r="C13" s="1">
        <v>797</v>
      </c>
      <c r="D13" s="1">
        <v>621</v>
      </c>
      <c r="I13" s="1">
        <v>1006.607</v>
      </c>
      <c r="J13" s="157">
        <v>0</v>
      </c>
      <c r="K13" s="1">
        <v>103.577</v>
      </c>
      <c r="L13" s="1">
        <v>2074.893</v>
      </c>
      <c r="M13" s="1">
        <v>2706.8319999999999</v>
      </c>
      <c r="N13" s="1">
        <v>7646.59</v>
      </c>
      <c r="O13" s="1">
        <v>3753.5934999999999</v>
      </c>
      <c r="R13" s="20">
        <v>0</v>
      </c>
      <c r="S13" s="1">
        <v>0</v>
      </c>
      <c r="T13" s="51">
        <v>0</v>
      </c>
      <c r="U13" s="1">
        <v>0</v>
      </c>
      <c r="V13" s="1">
        <v>0</v>
      </c>
      <c r="W13" s="157">
        <v>0</v>
      </c>
      <c r="X13" s="157">
        <v>0</v>
      </c>
      <c r="Y13" s="157">
        <v>0</v>
      </c>
      <c r="Z13" s="157">
        <v>0</v>
      </c>
      <c r="AA13" s="157">
        <v>0</v>
      </c>
      <c r="AB13" s="157">
        <v>0</v>
      </c>
      <c r="AC13" s="157">
        <v>0</v>
      </c>
      <c r="AD13" s="1">
        <v>0</v>
      </c>
      <c r="AE13" s="1">
        <v>0</v>
      </c>
      <c r="AF13" s="1">
        <v>0</v>
      </c>
      <c r="AG13" s="1">
        <v>0</v>
      </c>
      <c r="AH13" s="1">
        <v>0</v>
      </c>
      <c r="AI13" s="1">
        <v>0</v>
      </c>
      <c r="AK13" s="1">
        <v>0</v>
      </c>
    </row>
    <row r="14" spans="1:39" ht="12.75" customHeight="1">
      <c r="A14" s="1" t="s">
        <v>28</v>
      </c>
      <c r="B14" s="1">
        <v>60745</v>
      </c>
      <c r="C14" s="1">
        <v>68946</v>
      </c>
      <c r="D14" s="1">
        <v>76462</v>
      </c>
      <c r="I14" s="1">
        <v>117912.739</v>
      </c>
      <c r="J14" s="157">
        <v>86442.547999999995</v>
      </c>
      <c r="K14" s="1">
        <v>111636.743</v>
      </c>
      <c r="L14" s="1">
        <v>121434.96</v>
      </c>
      <c r="M14" s="1">
        <v>97789.055999999997</v>
      </c>
      <c r="N14" s="1">
        <v>136661.24400000001</v>
      </c>
      <c r="O14" s="1">
        <v>138775.08499999999</v>
      </c>
      <c r="R14" s="20">
        <v>174853.52100000001</v>
      </c>
      <c r="S14" s="1">
        <v>185033.85500000001</v>
      </c>
      <c r="T14" s="51">
        <v>173475.16399999999</v>
      </c>
      <c r="U14" s="1">
        <v>194127.03200000001</v>
      </c>
      <c r="V14" s="1">
        <v>216456.45199999999</v>
      </c>
      <c r="W14" s="157">
        <v>233261.67600000001</v>
      </c>
      <c r="X14" s="157">
        <v>253485.60800000001</v>
      </c>
      <c r="Y14" s="157">
        <v>283633.75199999998</v>
      </c>
      <c r="Z14" s="157">
        <v>311559.527</v>
      </c>
      <c r="AA14" s="157">
        <v>331230.62599999999</v>
      </c>
      <c r="AB14" s="157">
        <v>328703.98499999999</v>
      </c>
      <c r="AC14" s="157">
        <v>319337</v>
      </c>
      <c r="AD14" s="1">
        <v>310463.21600000001</v>
      </c>
      <c r="AE14" s="1">
        <v>318137.59899999999</v>
      </c>
      <c r="AF14" s="1">
        <v>329688.86200000002</v>
      </c>
      <c r="AG14" s="1">
        <v>355706.02799999999</v>
      </c>
      <c r="AH14" s="1">
        <v>372794.41499999998</v>
      </c>
      <c r="AI14" s="1">
        <v>393599.27100000001</v>
      </c>
      <c r="AK14" s="1">
        <v>432063.95400000003</v>
      </c>
    </row>
    <row r="15" spans="1:39" ht="12.75" customHeight="1">
      <c r="A15" s="1" t="s">
        <v>29</v>
      </c>
      <c r="B15" s="1">
        <v>16211</v>
      </c>
      <c r="C15" s="1">
        <v>17061</v>
      </c>
      <c r="D15" s="1">
        <v>17041</v>
      </c>
      <c r="I15" s="1">
        <v>22375.404999999999</v>
      </c>
      <c r="J15" s="157">
        <v>23986.058000000001</v>
      </c>
      <c r="K15" s="1">
        <v>25237.9</v>
      </c>
      <c r="L15" s="1">
        <v>26003.370999999999</v>
      </c>
      <c r="M15" s="1">
        <v>27791.39</v>
      </c>
      <c r="N15" s="1">
        <v>29106.203000000001</v>
      </c>
      <c r="O15" s="1">
        <v>30349.673999999999</v>
      </c>
      <c r="R15" s="20">
        <v>34961.767</v>
      </c>
      <c r="S15" s="1">
        <v>35145.724000000002</v>
      </c>
      <c r="T15" s="51">
        <v>39450.324000000001</v>
      </c>
      <c r="U15" s="1">
        <v>52968.478999999999</v>
      </c>
      <c r="V15" s="1">
        <v>55810.946000000004</v>
      </c>
      <c r="W15" s="157">
        <v>57257.692000000003</v>
      </c>
      <c r="X15" s="157">
        <v>57538.5</v>
      </c>
      <c r="Y15" s="157">
        <v>58165.682000000001</v>
      </c>
      <c r="Z15" s="157">
        <v>43608.385999999999</v>
      </c>
      <c r="AA15" s="157">
        <v>55670.074000000001</v>
      </c>
      <c r="AB15" s="157">
        <v>57730.216</v>
      </c>
      <c r="AC15" s="157">
        <v>58179</v>
      </c>
      <c r="AD15" s="1">
        <v>59716.232000000004</v>
      </c>
      <c r="AE15" s="1">
        <v>63052.987000000001</v>
      </c>
      <c r="AF15" s="1">
        <v>64211.673999999999</v>
      </c>
      <c r="AG15" s="1">
        <v>65090.785000000003</v>
      </c>
      <c r="AH15" s="1">
        <v>67067.739000000001</v>
      </c>
      <c r="AI15" s="1">
        <v>69843.263000000006</v>
      </c>
      <c r="AK15" s="1">
        <v>75697.831000000006</v>
      </c>
    </row>
    <row r="16" spans="1:39" ht="12.75" customHeight="1">
      <c r="A16" s="1" t="s">
        <v>30</v>
      </c>
      <c r="B16" s="1">
        <v>33451</v>
      </c>
      <c r="C16" s="1">
        <v>36855</v>
      </c>
      <c r="D16" s="1">
        <v>39577</v>
      </c>
      <c r="I16" s="1">
        <v>62784.838000000003</v>
      </c>
      <c r="J16" s="157">
        <v>66425.36</v>
      </c>
      <c r="K16" s="1">
        <v>73868.070000000007</v>
      </c>
      <c r="L16" s="1">
        <v>73798.554000000004</v>
      </c>
      <c r="M16" s="1">
        <v>77742.909</v>
      </c>
      <c r="N16" s="1">
        <v>79489.664000000004</v>
      </c>
      <c r="O16" s="1">
        <v>85489.541259999998</v>
      </c>
      <c r="R16" s="20">
        <v>106933.386</v>
      </c>
      <c r="S16" s="1">
        <v>113447.99</v>
      </c>
      <c r="T16" s="1">
        <v>118798.538</v>
      </c>
      <c r="U16" s="1">
        <v>121914.44100000001</v>
      </c>
      <c r="V16" s="1">
        <v>130036.98299999999</v>
      </c>
      <c r="W16" s="157">
        <v>142293.92499999999</v>
      </c>
      <c r="X16" s="157">
        <v>156170.91399999999</v>
      </c>
      <c r="Y16" s="157">
        <v>170546.91500000001</v>
      </c>
      <c r="Z16" s="157">
        <v>185256.946</v>
      </c>
      <c r="AA16" s="157">
        <v>196114.31599999999</v>
      </c>
      <c r="AB16" s="157">
        <v>194949.065</v>
      </c>
      <c r="AC16" s="157">
        <v>196168</v>
      </c>
      <c r="AD16" s="1">
        <v>200979.897</v>
      </c>
      <c r="AE16" s="1">
        <v>206763.141</v>
      </c>
      <c r="AF16" s="1">
        <v>217479.856</v>
      </c>
      <c r="AG16" s="1">
        <v>229527.08900000001</v>
      </c>
      <c r="AH16" s="1">
        <v>240151.64799999999</v>
      </c>
      <c r="AI16" s="1">
        <v>242273.02600000001</v>
      </c>
      <c r="AK16" s="1">
        <v>266759.24</v>
      </c>
    </row>
    <row r="17" spans="1:37" ht="12.75" customHeight="1">
      <c r="A17" s="1" t="s">
        <v>31</v>
      </c>
      <c r="B17" s="1">
        <v>3402</v>
      </c>
      <c r="C17" s="1">
        <v>5524</v>
      </c>
      <c r="D17" s="1">
        <v>8948</v>
      </c>
      <c r="I17" s="1">
        <v>12821.857</v>
      </c>
      <c r="J17" s="157">
        <v>13524.073</v>
      </c>
      <c r="K17" s="1">
        <v>13970.608</v>
      </c>
      <c r="L17" s="1">
        <v>14771.242</v>
      </c>
      <c r="M17" s="1">
        <v>16373.995000000001</v>
      </c>
      <c r="N17" s="1">
        <v>18578</v>
      </c>
      <c r="O17" s="1">
        <v>18571.666000000001</v>
      </c>
      <c r="R17" s="20">
        <v>21942.473999999998</v>
      </c>
      <c r="S17" s="1">
        <v>96999.585999999996</v>
      </c>
      <c r="T17" s="1">
        <v>35401.694000000003</v>
      </c>
      <c r="U17" s="1">
        <v>36909.184000000001</v>
      </c>
      <c r="V17" s="1">
        <v>38114.421000000002</v>
      </c>
      <c r="W17" s="157">
        <v>35850.881000000001</v>
      </c>
      <c r="X17" s="157">
        <v>38080.938999999998</v>
      </c>
      <c r="Y17" s="157">
        <v>41404.911</v>
      </c>
      <c r="Z17" s="157">
        <v>44625.760999999999</v>
      </c>
      <c r="AA17" s="157">
        <v>44518</v>
      </c>
      <c r="AB17" s="157">
        <v>48196.733999999997</v>
      </c>
      <c r="AC17" s="157">
        <v>49488</v>
      </c>
      <c r="AD17" s="1">
        <v>50287.86</v>
      </c>
      <c r="AE17" s="1">
        <v>53708.855000000003</v>
      </c>
      <c r="AF17" s="1">
        <v>54484.402000000002</v>
      </c>
      <c r="AG17" s="1">
        <v>57759.271999999997</v>
      </c>
      <c r="AH17" s="1">
        <v>59620.248</v>
      </c>
      <c r="AI17" s="1">
        <v>61432.862999999998</v>
      </c>
      <c r="AK17" s="1">
        <v>65410.985999999997</v>
      </c>
    </row>
    <row r="18" spans="1:37" ht="12.75" customHeight="1">
      <c r="A18" s="1" t="s">
        <v>32</v>
      </c>
      <c r="B18" s="1">
        <v>9034</v>
      </c>
      <c r="C18" s="1">
        <v>10288</v>
      </c>
      <c r="D18" s="1">
        <v>10980</v>
      </c>
      <c r="I18" s="1">
        <v>18669.647000000001</v>
      </c>
      <c r="J18" s="157">
        <v>19975.723999999998</v>
      </c>
      <c r="K18" s="1">
        <v>20919.785</v>
      </c>
      <c r="L18" s="1">
        <v>21972.346000000001</v>
      </c>
      <c r="M18" s="1">
        <v>23315.361000000001</v>
      </c>
      <c r="N18" s="1">
        <v>25736.965</v>
      </c>
      <c r="O18" s="1">
        <v>26823.088</v>
      </c>
      <c r="R18" s="20">
        <v>32693.306</v>
      </c>
      <c r="S18" s="1">
        <v>36060.332000000002</v>
      </c>
      <c r="T18" s="1">
        <v>42014.372000000003</v>
      </c>
      <c r="U18" s="1">
        <v>42156.156000000003</v>
      </c>
      <c r="V18" s="1">
        <v>43349.449000000001</v>
      </c>
      <c r="W18" s="157">
        <v>45934.281000000003</v>
      </c>
      <c r="X18" s="157">
        <v>50253.569000000003</v>
      </c>
      <c r="Y18" s="157">
        <v>52743.142</v>
      </c>
      <c r="Z18" s="157">
        <v>55962.514000000003</v>
      </c>
      <c r="AA18" s="157">
        <v>59726.923999999999</v>
      </c>
      <c r="AB18" s="157">
        <v>60984.748</v>
      </c>
      <c r="AC18" s="157">
        <v>62561</v>
      </c>
      <c r="AD18" s="1">
        <v>61813.258999999998</v>
      </c>
      <c r="AE18" s="1">
        <v>61922.561999999998</v>
      </c>
      <c r="AF18" s="1">
        <v>63981.228999999999</v>
      </c>
      <c r="AG18" s="1">
        <v>65139.796999999999</v>
      </c>
      <c r="AH18" s="1">
        <v>67546.614000000001</v>
      </c>
      <c r="AI18" s="1">
        <v>70887.495999999999</v>
      </c>
      <c r="AK18" s="1">
        <v>78445.422999999995</v>
      </c>
    </row>
    <row r="19" spans="1:37" ht="12.75" customHeight="1">
      <c r="A19" s="1" t="s">
        <v>33</v>
      </c>
      <c r="B19" s="1">
        <v>408</v>
      </c>
      <c r="C19" s="1">
        <v>264</v>
      </c>
      <c r="D19" s="1">
        <v>0</v>
      </c>
      <c r="I19" s="1">
        <v>0</v>
      </c>
      <c r="J19" s="157">
        <v>0</v>
      </c>
      <c r="K19" s="1">
        <v>0</v>
      </c>
      <c r="L19" s="1">
        <v>0</v>
      </c>
      <c r="M19" s="1">
        <v>0</v>
      </c>
      <c r="N19" s="1">
        <v>0</v>
      </c>
      <c r="O19" s="1">
        <v>10.199</v>
      </c>
      <c r="R19" s="27">
        <v>0</v>
      </c>
      <c r="S19" s="1">
        <v>0</v>
      </c>
      <c r="T19" s="1">
        <v>0</v>
      </c>
      <c r="U19" s="1">
        <v>0</v>
      </c>
      <c r="V19" s="1">
        <v>0</v>
      </c>
      <c r="W19" s="157">
        <v>0</v>
      </c>
      <c r="X19" s="157">
        <v>0</v>
      </c>
      <c r="Y19" s="157">
        <v>0</v>
      </c>
      <c r="Z19" s="157">
        <v>0</v>
      </c>
      <c r="AA19" s="157">
        <v>0</v>
      </c>
      <c r="AB19" s="157">
        <v>0</v>
      </c>
      <c r="AC19" s="157">
        <v>0</v>
      </c>
      <c r="AD19" s="1">
        <v>0</v>
      </c>
      <c r="AE19" s="1">
        <v>0</v>
      </c>
      <c r="AF19" s="1">
        <v>0</v>
      </c>
      <c r="AG19" s="1">
        <v>0</v>
      </c>
      <c r="AH19" s="1">
        <v>0</v>
      </c>
      <c r="AI19" s="1">
        <v>0</v>
      </c>
      <c r="AK19" s="1">
        <v>0</v>
      </c>
    </row>
    <row r="20" spans="1:37" ht="12.75" customHeight="1">
      <c r="A20" s="1" t="s">
        <v>34</v>
      </c>
      <c r="B20" s="1">
        <v>85876</v>
      </c>
      <c r="C20" s="1">
        <v>112337</v>
      </c>
      <c r="D20" s="1">
        <v>126120</v>
      </c>
      <c r="I20" s="1">
        <v>210906.818</v>
      </c>
      <c r="J20" s="157">
        <v>209508.649</v>
      </c>
      <c r="K20" s="1">
        <v>233781.47899999999</v>
      </c>
      <c r="L20" s="1">
        <v>249579.158</v>
      </c>
      <c r="M20" s="1">
        <v>214377.75200000001</v>
      </c>
      <c r="N20" s="1">
        <v>280140.65000000002</v>
      </c>
      <c r="O20" s="1">
        <v>301995.77100000001</v>
      </c>
      <c r="R20" s="20">
        <v>319042.97200000001</v>
      </c>
      <c r="S20" s="1">
        <v>374883.76899999997</v>
      </c>
      <c r="T20" s="1">
        <v>479068.47</v>
      </c>
      <c r="U20" s="1">
        <v>647994.94499999995</v>
      </c>
      <c r="V20" s="1">
        <v>692884.56200000003</v>
      </c>
      <c r="W20" s="157">
        <v>734536.63800000004</v>
      </c>
      <c r="X20" s="157">
        <v>819827.424</v>
      </c>
      <c r="Y20" s="157">
        <v>904256.05500000005</v>
      </c>
      <c r="Z20" s="157">
        <v>1003554.877</v>
      </c>
      <c r="AA20" s="157">
        <v>1209008.426</v>
      </c>
      <c r="AB20" s="157">
        <v>1264941.459</v>
      </c>
      <c r="AC20" s="157">
        <v>1311860</v>
      </c>
      <c r="AD20" s="1">
        <v>1376332.6470000001</v>
      </c>
      <c r="AE20" s="1">
        <v>1427979.287</v>
      </c>
      <c r="AF20" s="1">
        <v>1539840.3459999999</v>
      </c>
      <c r="AG20" s="1">
        <v>1663357.047</v>
      </c>
      <c r="AH20" s="1">
        <v>1781752.49</v>
      </c>
      <c r="AI20" s="1">
        <v>1886970.1370000001</v>
      </c>
      <c r="AK20" s="1">
        <v>2125220.1490000002</v>
      </c>
    </row>
    <row r="21" spans="1:37" ht="12.75" customHeight="1">
      <c r="A21" s="1" t="s">
        <v>35</v>
      </c>
      <c r="B21" s="1">
        <v>0</v>
      </c>
      <c r="C21" s="1">
        <v>923</v>
      </c>
      <c r="D21" s="1">
        <v>585</v>
      </c>
      <c r="I21" s="1">
        <v>972.54300000000001</v>
      </c>
      <c r="J21" s="157">
        <v>909.471</v>
      </c>
      <c r="K21" s="1">
        <v>926.79899999999998</v>
      </c>
      <c r="L21" s="1">
        <v>997.82299999999998</v>
      </c>
      <c r="M21" s="1">
        <v>1972.22</v>
      </c>
      <c r="N21" s="1">
        <v>1281.8920000000001</v>
      </c>
      <c r="O21" s="1">
        <v>2110.4870000000001</v>
      </c>
      <c r="R21" s="20">
        <v>1492.3209999999999</v>
      </c>
      <c r="S21" s="1">
        <v>1569.7550000000001</v>
      </c>
      <c r="T21" s="1">
        <v>1859.1790000000001</v>
      </c>
      <c r="U21" s="1">
        <v>1806.9749999999999</v>
      </c>
      <c r="V21" s="1">
        <v>1871.85</v>
      </c>
      <c r="W21" s="157">
        <v>2062.0520000000001</v>
      </c>
      <c r="X21" s="157">
        <v>1934.05</v>
      </c>
      <c r="Y21" s="157">
        <v>2261.11</v>
      </c>
      <c r="Z21" s="157">
        <v>2026.46</v>
      </c>
      <c r="AA21" s="157">
        <v>1834.4369999999999</v>
      </c>
      <c r="AB21" s="157">
        <v>2288.8069999999998</v>
      </c>
      <c r="AC21" s="157">
        <v>2213</v>
      </c>
      <c r="AD21" s="1">
        <v>2139.7930000000001</v>
      </c>
      <c r="AE21" s="1">
        <v>2190.3330000000001</v>
      </c>
      <c r="AF21" s="1">
        <v>2520.8939999999998</v>
      </c>
      <c r="AG21" s="1">
        <v>2276.33</v>
      </c>
      <c r="AH21" s="1">
        <v>2378.7190000000001</v>
      </c>
      <c r="AI21" s="1">
        <v>2442.123</v>
      </c>
      <c r="AK21" s="1">
        <v>2792.2339999999999</v>
      </c>
    </row>
    <row r="22" spans="1:37" ht="12.75" customHeight="1">
      <c r="A22" s="30" t="s">
        <v>36</v>
      </c>
      <c r="B22" s="30">
        <v>0</v>
      </c>
      <c r="C22" s="30">
        <v>0</v>
      </c>
      <c r="D22" s="30">
        <v>0</v>
      </c>
      <c r="E22" s="30"/>
      <c r="F22" s="30"/>
      <c r="G22" s="30"/>
      <c r="H22" s="30"/>
      <c r="I22" s="30">
        <v>0</v>
      </c>
      <c r="J22" s="158">
        <v>0</v>
      </c>
      <c r="K22" s="30"/>
      <c r="L22" s="30">
        <v>0</v>
      </c>
      <c r="M22" s="30">
        <v>0</v>
      </c>
      <c r="N22" s="30">
        <v>65.191999999999993</v>
      </c>
      <c r="O22" s="30">
        <v>65.074660000000009</v>
      </c>
      <c r="P22" s="30"/>
      <c r="Q22" s="30"/>
      <c r="R22" s="30">
        <v>0</v>
      </c>
      <c r="S22" s="30">
        <v>726.10599999999999</v>
      </c>
      <c r="T22" s="30">
        <v>0</v>
      </c>
      <c r="U22" s="30">
        <v>0</v>
      </c>
      <c r="V22" s="30">
        <v>310.09399999999999</v>
      </c>
      <c r="W22" s="158">
        <v>213.29599999999999</v>
      </c>
      <c r="X22" s="158">
        <v>263.13299999999998</v>
      </c>
      <c r="Y22" s="158">
        <v>273.18099999999998</v>
      </c>
      <c r="Z22" s="158">
        <v>196.58799999999999</v>
      </c>
      <c r="AA22" s="158">
        <v>0</v>
      </c>
      <c r="AB22" s="158">
        <v>450.77100000000002</v>
      </c>
      <c r="AC22" s="158">
        <v>316</v>
      </c>
      <c r="AD22" s="30">
        <v>874.32600000000002</v>
      </c>
      <c r="AE22" s="30">
        <v>719.14599999999996</v>
      </c>
      <c r="AF22" s="30">
        <v>0</v>
      </c>
      <c r="AG22" s="30">
        <v>0</v>
      </c>
      <c r="AH22" s="30">
        <v>602.78800000000001</v>
      </c>
      <c r="AI22" s="30">
        <v>0</v>
      </c>
      <c r="AJ22" s="30"/>
      <c r="AK22" s="30">
        <v>0</v>
      </c>
    </row>
    <row r="23" spans="1:37" ht="12.75" customHeight="1">
      <c r="A23" s="6" t="s">
        <v>37</v>
      </c>
      <c r="B23" s="58">
        <f>SUM(B25:B37)</f>
        <v>0</v>
      </c>
      <c r="C23" s="58">
        <f t="shared" ref="C23:AK23" si="12">SUM(C25:C37)</f>
        <v>0</v>
      </c>
      <c r="D23" s="58">
        <f t="shared" si="12"/>
        <v>0</v>
      </c>
      <c r="E23" s="58">
        <f t="shared" si="12"/>
        <v>0</v>
      </c>
      <c r="F23" s="58">
        <f t="shared" si="12"/>
        <v>0</v>
      </c>
      <c r="G23" s="58">
        <f t="shared" si="12"/>
        <v>0</v>
      </c>
      <c r="H23" s="58">
        <f t="shared" si="12"/>
        <v>0</v>
      </c>
      <c r="I23" s="58">
        <f t="shared" si="12"/>
        <v>0</v>
      </c>
      <c r="J23" s="58">
        <f t="shared" si="12"/>
        <v>1132516.3429999999</v>
      </c>
      <c r="K23" s="58">
        <f t="shared" si="12"/>
        <v>0</v>
      </c>
      <c r="L23" s="58">
        <f t="shared" si="12"/>
        <v>0</v>
      </c>
      <c r="M23" s="58">
        <f t="shared" si="12"/>
        <v>1500700.0330000001</v>
      </c>
      <c r="N23" s="58">
        <f t="shared" si="12"/>
        <v>0</v>
      </c>
      <c r="O23" s="58">
        <f t="shared" si="12"/>
        <v>1789376.1157500001</v>
      </c>
      <c r="P23" s="58">
        <f t="shared" si="12"/>
        <v>0</v>
      </c>
      <c r="Q23" s="58">
        <f t="shared" si="12"/>
        <v>0</v>
      </c>
      <c r="R23" s="58">
        <f t="shared" si="12"/>
        <v>1556476.7390000001</v>
      </c>
      <c r="S23" s="58">
        <f t="shared" si="12"/>
        <v>1598486.1189999999</v>
      </c>
      <c r="T23" s="58">
        <f t="shared" si="12"/>
        <v>1856506.5619999997</v>
      </c>
      <c r="U23" s="58">
        <f t="shared" si="12"/>
        <v>1963220.3530000004</v>
      </c>
      <c r="V23" s="58">
        <f t="shared" si="12"/>
        <v>2184138.6720000003</v>
      </c>
      <c r="W23" s="58">
        <f t="shared" si="12"/>
        <v>2610224.9619999994</v>
      </c>
      <c r="X23" s="58">
        <f t="shared" si="12"/>
        <v>2801338.2529999996</v>
      </c>
      <c r="Y23" s="58">
        <f t="shared" si="12"/>
        <v>2996124.0620000004</v>
      </c>
      <c r="Z23" s="58">
        <f t="shared" si="12"/>
        <v>3160310.7029999997</v>
      </c>
      <c r="AA23" s="58">
        <f t="shared" si="12"/>
        <v>3302403.284</v>
      </c>
      <c r="AB23" s="58">
        <f t="shared" si="12"/>
        <v>3325892.213</v>
      </c>
      <c r="AC23" s="58">
        <f t="shared" si="12"/>
        <v>3345443</v>
      </c>
      <c r="AD23" s="58">
        <f t="shared" si="12"/>
        <v>3406237.8850000002</v>
      </c>
      <c r="AE23" s="58">
        <f t="shared" si="12"/>
        <v>3693738.5100000002</v>
      </c>
      <c r="AF23" s="58">
        <f t="shared" si="12"/>
        <v>2428744.2660000003</v>
      </c>
      <c r="AG23" s="58">
        <f t="shared" si="12"/>
        <v>2520016.9510000004</v>
      </c>
      <c r="AH23" s="58">
        <f t="shared" si="12"/>
        <v>4431282.9969999995</v>
      </c>
      <c r="AI23" s="58">
        <f t="shared" si="12"/>
        <v>4648179.7899999991</v>
      </c>
      <c r="AJ23" s="58">
        <f t="shared" si="12"/>
        <v>0</v>
      </c>
      <c r="AK23" s="58">
        <f t="shared" si="12"/>
        <v>5085826.7019999996</v>
      </c>
    </row>
    <row r="24" spans="1:37" ht="12.75" customHeight="1">
      <c r="A24" s="6" t="s">
        <v>94</v>
      </c>
      <c r="AI24" s="1">
        <v>0</v>
      </c>
    </row>
    <row r="25" spans="1:37" ht="12.75" customHeight="1">
      <c r="A25" s="1" t="s">
        <v>38</v>
      </c>
      <c r="J25" s="157">
        <v>523.20100000000002</v>
      </c>
      <c r="M25" s="1">
        <v>679</v>
      </c>
      <c r="O25" s="1">
        <v>647.23099999999999</v>
      </c>
      <c r="R25" s="20">
        <v>10520.531000000001</v>
      </c>
      <c r="S25" s="1">
        <v>654.73099999999999</v>
      </c>
      <c r="T25" s="1">
        <v>9691.6309999999994</v>
      </c>
      <c r="U25" s="1">
        <v>5800</v>
      </c>
      <c r="V25" s="1">
        <v>5800</v>
      </c>
      <c r="W25" s="157">
        <v>0</v>
      </c>
      <c r="X25" s="157">
        <v>0</v>
      </c>
      <c r="Y25" s="157">
        <v>0</v>
      </c>
      <c r="Z25" s="157">
        <v>6954.94</v>
      </c>
      <c r="AA25" s="157">
        <v>8004.91</v>
      </c>
      <c r="AB25" s="157">
        <v>8993.1290000000008</v>
      </c>
      <c r="AC25" s="157">
        <v>0</v>
      </c>
      <c r="AD25" s="1">
        <v>10031.393</v>
      </c>
      <c r="AE25" s="1">
        <v>10031.393</v>
      </c>
      <c r="AF25" s="1">
        <v>0</v>
      </c>
      <c r="AG25" s="1">
        <v>0</v>
      </c>
      <c r="AH25" s="1">
        <v>11768.623</v>
      </c>
      <c r="AI25" s="1">
        <v>12355.803</v>
      </c>
      <c r="AK25" s="1">
        <v>13199.645</v>
      </c>
    </row>
    <row r="26" spans="1:37" ht="12.75" customHeight="1">
      <c r="A26" s="1" t="s">
        <v>39</v>
      </c>
      <c r="J26" s="157">
        <v>159548.68100000001</v>
      </c>
      <c r="M26" s="1">
        <v>184076.821</v>
      </c>
      <c r="O26" s="1">
        <v>236757.61838</v>
      </c>
      <c r="R26" s="20">
        <v>262503.90399999998</v>
      </c>
      <c r="S26" s="1">
        <v>286815.14</v>
      </c>
      <c r="T26" s="1">
        <v>371644.38699999999</v>
      </c>
      <c r="U26" s="1">
        <v>394423.67200000002</v>
      </c>
      <c r="V26" s="1">
        <v>431020.065</v>
      </c>
      <c r="W26" s="157">
        <v>454624.26799999998</v>
      </c>
      <c r="X26" s="157">
        <v>513745.89199999999</v>
      </c>
      <c r="Y26" s="157">
        <v>569653.17099999997</v>
      </c>
      <c r="Z26" s="157">
        <v>611403.67799999996</v>
      </c>
      <c r="AA26" s="157">
        <v>651433.51100000006</v>
      </c>
      <c r="AB26" s="157">
        <v>652479.13</v>
      </c>
      <c r="AC26" s="157">
        <v>668688</v>
      </c>
      <c r="AD26" s="1">
        <v>664182.44200000004</v>
      </c>
      <c r="AE26" s="1">
        <v>667846.64899999998</v>
      </c>
      <c r="AF26" s="1">
        <v>166162.34299999999</v>
      </c>
      <c r="AG26" s="1">
        <v>173081.522</v>
      </c>
      <c r="AH26" s="139">
        <v>748197.19900000002</v>
      </c>
      <c r="AI26" s="1">
        <v>760935.85199999996</v>
      </c>
      <c r="AK26" s="1">
        <v>812736.70499999996</v>
      </c>
    </row>
    <row r="27" spans="1:37" ht="12.75" customHeight="1">
      <c r="A27" s="1" t="s">
        <v>40</v>
      </c>
      <c r="J27" s="157">
        <v>774185.08100000001</v>
      </c>
      <c r="M27" s="1">
        <v>1130134.7790000001</v>
      </c>
      <c r="O27" s="1">
        <v>1365003.872</v>
      </c>
      <c r="R27" s="20">
        <v>1073000</v>
      </c>
      <c r="S27" s="1">
        <v>1082111.1470000001</v>
      </c>
      <c r="T27" s="1">
        <v>1216736.683</v>
      </c>
      <c r="U27" s="1">
        <v>1279348.8540000001</v>
      </c>
      <c r="V27" s="1">
        <v>1463729.9280000001</v>
      </c>
      <c r="W27" s="157">
        <v>1843142.416</v>
      </c>
      <c r="X27" s="157">
        <v>1938019.6189999999</v>
      </c>
      <c r="Y27" s="157">
        <v>2057716.6610000001</v>
      </c>
      <c r="Z27" s="157">
        <v>2139912.7250000001</v>
      </c>
      <c r="AA27" s="157">
        <v>2221083.6490000002</v>
      </c>
      <c r="AB27" s="157">
        <v>2180721.9029999999</v>
      </c>
      <c r="AC27" s="157">
        <v>2213318</v>
      </c>
      <c r="AD27" s="1">
        <v>2249116.6639999999</v>
      </c>
      <c r="AE27" s="1">
        <v>2508453.52</v>
      </c>
      <c r="AF27" s="1">
        <v>1851125.0859999999</v>
      </c>
      <c r="AG27" s="1">
        <v>1907391.757</v>
      </c>
      <c r="AH27" s="139">
        <v>3135445.1409999998</v>
      </c>
      <c r="AI27" s="1">
        <v>3321949.7519999999</v>
      </c>
      <c r="AK27" s="1">
        <v>3639215.8820000002</v>
      </c>
    </row>
    <row r="28" spans="1:37" ht="12.75" customHeight="1">
      <c r="A28" s="1" t="s">
        <v>41</v>
      </c>
      <c r="J28" s="157">
        <v>21879.112000000001</v>
      </c>
      <c r="M28" s="1">
        <v>27548.572</v>
      </c>
      <c r="O28" s="1">
        <v>29260.539000000001</v>
      </c>
      <c r="R28" s="20">
        <v>26794.026999999998</v>
      </c>
      <c r="S28" s="1">
        <v>36839.603000000003</v>
      </c>
      <c r="T28" s="1">
        <v>40049.572</v>
      </c>
      <c r="U28" s="1">
        <v>42503.188000000002</v>
      </c>
      <c r="V28" s="1">
        <v>42051.51</v>
      </c>
      <c r="W28" s="157">
        <v>46672.546999999999</v>
      </c>
      <c r="X28" s="157">
        <v>54422.358999999997</v>
      </c>
      <c r="Y28" s="157">
        <v>61729.561000000002</v>
      </c>
      <c r="Z28" s="157">
        <v>73246.917000000001</v>
      </c>
      <c r="AA28" s="157">
        <v>74301.494999999995</v>
      </c>
      <c r="AB28" s="157">
        <v>96324.153000000006</v>
      </c>
      <c r="AC28" s="157">
        <v>82141</v>
      </c>
      <c r="AD28" s="1">
        <v>78374.201000000001</v>
      </c>
      <c r="AE28" s="1">
        <v>84923.441000000006</v>
      </c>
      <c r="AF28" s="1">
        <v>42938.218000000001</v>
      </c>
      <c r="AG28" s="1">
        <v>44333.01</v>
      </c>
      <c r="AH28" s="139">
        <v>66103.42</v>
      </c>
      <c r="AI28" s="1">
        <v>51389.214999999997</v>
      </c>
      <c r="AK28" s="1">
        <v>65599.967000000004</v>
      </c>
    </row>
    <row r="29" spans="1:37" ht="12.75" customHeight="1">
      <c r="A29" s="1" t="s">
        <v>42</v>
      </c>
      <c r="J29" s="157">
        <v>0</v>
      </c>
      <c r="M29" s="1">
        <v>0</v>
      </c>
      <c r="O29" s="1">
        <v>0</v>
      </c>
      <c r="R29" s="20">
        <v>0</v>
      </c>
      <c r="S29" s="1">
        <v>0</v>
      </c>
      <c r="T29" s="1">
        <v>0</v>
      </c>
      <c r="U29" s="1">
        <v>0</v>
      </c>
      <c r="V29" s="1">
        <v>0</v>
      </c>
      <c r="W29" s="157">
        <v>0</v>
      </c>
      <c r="X29" s="157">
        <v>0</v>
      </c>
      <c r="Y29" s="157">
        <v>0</v>
      </c>
      <c r="Z29" s="157">
        <v>0</v>
      </c>
      <c r="AA29" s="157">
        <v>0</v>
      </c>
      <c r="AB29" s="157">
        <v>0</v>
      </c>
      <c r="AC29" s="157">
        <v>0</v>
      </c>
      <c r="AD29" s="1">
        <v>0</v>
      </c>
      <c r="AE29" s="1">
        <v>0</v>
      </c>
      <c r="AF29" s="1">
        <v>0</v>
      </c>
      <c r="AG29" s="1">
        <v>0</v>
      </c>
      <c r="AH29" s="1">
        <v>0</v>
      </c>
      <c r="AI29" s="1">
        <v>0</v>
      </c>
      <c r="AK29" s="1">
        <v>0</v>
      </c>
    </row>
    <row r="30" spans="1:37" ht="12.75" customHeight="1">
      <c r="A30" s="1" t="s">
        <v>43</v>
      </c>
      <c r="J30" s="157">
        <v>7270.6949999999997</v>
      </c>
      <c r="M30" s="1">
        <v>10101.796</v>
      </c>
      <c r="O30" s="1">
        <v>10519.868</v>
      </c>
      <c r="R30" s="20">
        <v>10615.061</v>
      </c>
      <c r="S30" s="1">
        <v>11148.427</v>
      </c>
      <c r="T30" s="1">
        <v>8555.9639999999999</v>
      </c>
      <c r="U30" s="1">
        <v>5339.9549999999999</v>
      </c>
      <c r="V30" s="1">
        <v>5634.9639999999999</v>
      </c>
      <c r="W30" s="157">
        <v>6050.1580000000004</v>
      </c>
      <c r="X30" s="157">
        <v>7633.2669999999998</v>
      </c>
      <c r="Y30" s="157">
        <v>8197.56</v>
      </c>
      <c r="Z30" s="157">
        <v>9076.1239999999998</v>
      </c>
      <c r="AA30" s="157">
        <v>12187.547</v>
      </c>
      <c r="AB30" s="157">
        <v>12900.300999999999</v>
      </c>
      <c r="AC30" s="157">
        <v>13398</v>
      </c>
      <c r="AD30" s="1">
        <v>20558.592000000001</v>
      </c>
      <c r="AE30" s="1">
        <v>26482.778999999999</v>
      </c>
      <c r="AF30" s="1">
        <v>27176.379000000001</v>
      </c>
      <c r="AG30" s="1">
        <v>28006.400000000001</v>
      </c>
      <c r="AH30" s="1">
        <v>29171.198</v>
      </c>
      <c r="AI30" s="1">
        <v>30246.864000000001</v>
      </c>
      <c r="AK30" s="1">
        <v>33892.675999999999</v>
      </c>
    </row>
    <row r="31" spans="1:37" ht="12.75" customHeight="1">
      <c r="A31" s="1" t="s">
        <v>44</v>
      </c>
      <c r="J31" s="157">
        <v>2851.58</v>
      </c>
      <c r="M31" s="1">
        <v>4103.9970000000003</v>
      </c>
      <c r="O31" s="1">
        <v>3550.17121</v>
      </c>
      <c r="R31" s="27">
        <v>3868.0059999999999</v>
      </c>
      <c r="S31" s="1">
        <v>4069.3110000000001</v>
      </c>
      <c r="T31" s="1">
        <v>4296.9399999999996</v>
      </c>
      <c r="U31" s="1">
        <v>4684.933</v>
      </c>
      <c r="V31" s="1">
        <v>5403.9620000000004</v>
      </c>
      <c r="W31" s="157">
        <v>5424.1080000000002</v>
      </c>
      <c r="X31" s="157">
        <v>6282.5050000000001</v>
      </c>
      <c r="Y31" s="157">
        <v>6780.69</v>
      </c>
      <c r="Z31" s="157">
        <v>6966.4070000000002</v>
      </c>
      <c r="AA31" s="157">
        <v>8016.5290000000005</v>
      </c>
      <c r="AB31" s="157">
        <v>8104.9250000000002</v>
      </c>
      <c r="AC31" s="157">
        <v>8151</v>
      </c>
      <c r="AD31" s="1">
        <v>8403.9670000000006</v>
      </c>
      <c r="AE31" s="1">
        <v>8621.7340000000004</v>
      </c>
      <c r="AF31" s="1">
        <v>9066.2929999999997</v>
      </c>
      <c r="AG31" s="1">
        <v>9747.8019999999997</v>
      </c>
      <c r="AH31" s="1">
        <v>9475.9040000000005</v>
      </c>
      <c r="AI31" s="1">
        <v>10366.967000000001</v>
      </c>
      <c r="AK31" s="1">
        <v>10772.342000000001</v>
      </c>
    </row>
    <row r="32" spans="1:37" ht="12.75" customHeight="1">
      <c r="A32" s="1" t="s">
        <v>45</v>
      </c>
      <c r="J32" s="157">
        <v>0</v>
      </c>
      <c r="M32" s="1">
        <v>0</v>
      </c>
      <c r="O32" s="1">
        <v>0</v>
      </c>
      <c r="R32" s="27">
        <v>0</v>
      </c>
      <c r="S32" s="1">
        <v>0</v>
      </c>
      <c r="T32" s="1">
        <v>3451</v>
      </c>
      <c r="U32" s="1">
        <v>3311</v>
      </c>
      <c r="V32" s="1">
        <v>0</v>
      </c>
      <c r="W32" s="157">
        <v>0</v>
      </c>
      <c r="X32" s="157">
        <v>0</v>
      </c>
      <c r="Y32" s="157">
        <v>0</v>
      </c>
      <c r="Z32" s="157">
        <v>0</v>
      </c>
      <c r="AA32" s="157">
        <v>0</v>
      </c>
      <c r="AB32" s="157">
        <v>0</v>
      </c>
      <c r="AC32" s="157">
        <v>0</v>
      </c>
      <c r="AD32" s="1">
        <v>0</v>
      </c>
      <c r="AE32" s="1">
        <v>0</v>
      </c>
      <c r="AF32" s="1">
        <v>0</v>
      </c>
      <c r="AG32" s="1">
        <v>0</v>
      </c>
      <c r="AH32" s="1">
        <v>0</v>
      </c>
      <c r="AI32" s="1">
        <v>0</v>
      </c>
      <c r="AK32" s="1">
        <v>0</v>
      </c>
    </row>
    <row r="33" spans="1:37" ht="12.75" customHeight="1">
      <c r="A33" s="1" t="s">
        <v>46</v>
      </c>
      <c r="J33" s="157">
        <v>34012.108999999997</v>
      </c>
      <c r="M33" s="1">
        <v>38219.330999999998</v>
      </c>
      <c r="O33" s="1">
        <v>42603.313179999997</v>
      </c>
      <c r="R33" s="27">
        <v>52321.601999999999</v>
      </c>
      <c r="S33" s="1">
        <v>57611.23</v>
      </c>
      <c r="T33" s="1">
        <v>61789.315999999999</v>
      </c>
      <c r="U33" s="1">
        <v>72584.191000000006</v>
      </c>
      <c r="V33" s="1">
        <v>75041.384000000005</v>
      </c>
      <c r="W33" s="157">
        <v>82915.805999999997</v>
      </c>
      <c r="X33" s="157">
        <v>92644.305999999997</v>
      </c>
      <c r="Y33" s="157">
        <v>92000.222999999998</v>
      </c>
      <c r="Z33" s="157">
        <v>108044.659</v>
      </c>
      <c r="AA33" s="157">
        <v>113956.13499999999</v>
      </c>
      <c r="AB33" s="157">
        <v>119339.58500000001</v>
      </c>
      <c r="AC33" s="157">
        <v>120930</v>
      </c>
      <c r="AD33" s="1">
        <v>126889.52099999999</v>
      </c>
      <c r="AE33" s="1">
        <v>126528.07</v>
      </c>
      <c r="AF33" s="1">
        <v>70040.778999999995</v>
      </c>
      <c r="AG33" s="1">
        <v>82522.582999999999</v>
      </c>
      <c r="AH33" s="139">
        <v>146242.47700000001</v>
      </c>
      <c r="AI33" s="1">
        <v>161319.93</v>
      </c>
      <c r="AK33" s="1">
        <v>184751.236</v>
      </c>
    </row>
    <row r="34" spans="1:37" ht="12.75" customHeight="1">
      <c r="A34" s="1" t="s">
        <v>47</v>
      </c>
      <c r="J34" s="157">
        <v>115072.508</v>
      </c>
      <c r="M34" s="1">
        <v>91831.161999999997</v>
      </c>
      <c r="O34" s="1">
        <v>86921.056280000004</v>
      </c>
      <c r="R34" s="20">
        <v>97391.934999999998</v>
      </c>
      <c r="S34" s="1">
        <v>98711.917000000001</v>
      </c>
      <c r="T34" s="1">
        <v>115749.254</v>
      </c>
      <c r="U34" s="1">
        <v>127643.01700000001</v>
      </c>
      <c r="V34" s="1">
        <v>133204.014</v>
      </c>
      <c r="W34" s="157">
        <v>143990.04999999999</v>
      </c>
      <c r="X34" s="157">
        <v>156028.726</v>
      </c>
      <c r="Y34" s="157">
        <v>162135.821</v>
      </c>
      <c r="Z34" s="157">
        <v>166078.30900000001</v>
      </c>
      <c r="AA34" s="157">
        <v>175490.158</v>
      </c>
      <c r="AB34" s="157">
        <v>197312.97</v>
      </c>
      <c r="AC34" s="157">
        <v>199999</v>
      </c>
      <c r="AD34" s="1">
        <v>203406.84899999999</v>
      </c>
      <c r="AE34" s="1">
        <v>212660.93799999999</v>
      </c>
      <c r="AF34" s="1">
        <v>214904.08199999999</v>
      </c>
      <c r="AG34" s="1">
        <v>225103.57500000001</v>
      </c>
      <c r="AH34" s="1">
        <v>232326.677</v>
      </c>
      <c r="AI34" s="1">
        <v>254553.674</v>
      </c>
      <c r="AK34" s="1">
        <v>277843.66499999998</v>
      </c>
    </row>
    <row r="35" spans="1:37" ht="12.75" customHeight="1">
      <c r="A35" s="1" t="s">
        <v>48</v>
      </c>
      <c r="J35" s="157">
        <v>0</v>
      </c>
      <c r="M35" s="1">
        <v>0</v>
      </c>
      <c r="O35" s="1">
        <v>0</v>
      </c>
      <c r="R35" s="20">
        <v>506.74</v>
      </c>
      <c r="S35" s="1">
        <v>0</v>
      </c>
      <c r="T35" s="1">
        <v>0</v>
      </c>
      <c r="U35" s="1">
        <v>0</v>
      </c>
      <c r="V35" s="1">
        <v>0</v>
      </c>
      <c r="W35" s="157">
        <v>0</v>
      </c>
      <c r="X35" s="157">
        <v>0</v>
      </c>
      <c r="Y35" s="157">
        <v>0</v>
      </c>
      <c r="Z35" s="157">
        <v>0</v>
      </c>
      <c r="AA35" s="157">
        <v>0</v>
      </c>
      <c r="AB35" s="157">
        <v>0</v>
      </c>
      <c r="AC35" s="157">
        <v>0</v>
      </c>
      <c r="AD35" s="1">
        <v>0</v>
      </c>
      <c r="AE35" s="1">
        <v>0</v>
      </c>
      <c r="AF35" s="1">
        <v>0</v>
      </c>
      <c r="AG35" s="1">
        <v>0</v>
      </c>
      <c r="AH35" s="1">
        <v>0</v>
      </c>
      <c r="AI35" s="1">
        <v>0</v>
      </c>
      <c r="AK35" s="1">
        <v>0</v>
      </c>
    </row>
    <row r="36" spans="1:37" ht="12.75" customHeight="1">
      <c r="A36" s="1" t="s">
        <v>49</v>
      </c>
      <c r="J36" s="157">
        <v>2804.3910000000001</v>
      </c>
      <c r="M36" s="1">
        <v>0</v>
      </c>
      <c r="O36" s="1">
        <v>99.436700000000002</v>
      </c>
      <c r="R36" s="20">
        <v>0</v>
      </c>
      <c r="S36" s="1">
        <v>0</v>
      </c>
      <c r="T36" s="1">
        <v>0</v>
      </c>
      <c r="U36" s="1">
        <v>0</v>
      </c>
      <c r="V36" s="1">
        <v>0</v>
      </c>
      <c r="W36" s="157">
        <v>0</v>
      </c>
      <c r="X36" s="157">
        <v>0</v>
      </c>
      <c r="Y36" s="157">
        <v>0</v>
      </c>
      <c r="Z36" s="157">
        <v>0</v>
      </c>
      <c r="AA36" s="157">
        <v>0</v>
      </c>
      <c r="AB36" s="157">
        <v>0</v>
      </c>
      <c r="AC36" s="157">
        <v>0</v>
      </c>
      <c r="AD36" s="1">
        <v>0</v>
      </c>
      <c r="AE36" s="1">
        <v>0</v>
      </c>
      <c r="AF36" s="1">
        <v>0</v>
      </c>
      <c r="AG36" s="1">
        <v>0</v>
      </c>
      <c r="AH36" s="1">
        <v>0</v>
      </c>
      <c r="AI36" s="1">
        <v>0</v>
      </c>
      <c r="AK36" s="1">
        <v>0</v>
      </c>
    </row>
    <row r="37" spans="1:37" ht="12.75" customHeight="1">
      <c r="A37" s="30" t="s">
        <v>50</v>
      </c>
      <c r="B37" s="30"/>
      <c r="C37" s="30"/>
      <c r="D37" s="30"/>
      <c r="E37" s="30"/>
      <c r="F37" s="30"/>
      <c r="G37" s="30"/>
      <c r="H37" s="30"/>
      <c r="I37" s="30"/>
      <c r="J37" s="158">
        <v>14368.985000000001</v>
      </c>
      <c r="K37" s="30"/>
      <c r="L37" s="30"/>
      <c r="M37" s="30">
        <v>14004.575000000001</v>
      </c>
      <c r="N37" s="30"/>
      <c r="O37" s="30">
        <v>14013.01</v>
      </c>
      <c r="P37" s="30"/>
      <c r="Q37" s="30"/>
      <c r="R37" s="40">
        <v>18954.933000000001</v>
      </c>
      <c r="S37" s="30">
        <v>20524.613000000001</v>
      </c>
      <c r="T37" s="30">
        <v>24541.814999999999</v>
      </c>
      <c r="U37" s="30">
        <v>27581.543000000001</v>
      </c>
      <c r="V37" s="30">
        <v>22252.845000000001</v>
      </c>
      <c r="W37" s="158">
        <v>27405.609</v>
      </c>
      <c r="X37" s="158">
        <v>32561.579000000002</v>
      </c>
      <c r="Y37" s="158">
        <v>37910.375</v>
      </c>
      <c r="Z37" s="158">
        <v>38626.944000000003</v>
      </c>
      <c r="AA37" s="158">
        <v>37929.35</v>
      </c>
      <c r="AB37" s="158">
        <v>49716.116999999998</v>
      </c>
      <c r="AC37" s="158">
        <v>38818</v>
      </c>
      <c r="AD37" s="30">
        <v>45274.256000000001</v>
      </c>
      <c r="AE37" s="30">
        <v>48189.985999999997</v>
      </c>
      <c r="AF37" s="30">
        <v>47331.086000000003</v>
      </c>
      <c r="AG37" s="30">
        <v>49830.302000000003</v>
      </c>
      <c r="AH37" s="30">
        <v>52552.358</v>
      </c>
      <c r="AI37" s="30">
        <v>45061.733</v>
      </c>
      <c r="AJ37" s="30"/>
      <c r="AK37" s="30">
        <v>47814.584000000003</v>
      </c>
    </row>
    <row r="38" spans="1:37" ht="12.75" customHeight="1">
      <c r="A38" s="6" t="s">
        <v>51</v>
      </c>
      <c r="B38" s="58">
        <f>SUM(B40:B51)</f>
        <v>0</v>
      </c>
      <c r="C38" s="58">
        <f t="shared" ref="C38:AK38" si="13">SUM(C40:C51)</f>
        <v>0</v>
      </c>
      <c r="D38" s="58">
        <f t="shared" si="13"/>
        <v>0</v>
      </c>
      <c r="E38" s="58">
        <f t="shared" si="13"/>
        <v>0</v>
      </c>
      <c r="F38" s="58">
        <f t="shared" si="13"/>
        <v>0</v>
      </c>
      <c r="G38" s="58">
        <f t="shared" si="13"/>
        <v>0</v>
      </c>
      <c r="H38" s="58">
        <f t="shared" si="13"/>
        <v>0</v>
      </c>
      <c r="I38" s="58">
        <f t="shared" si="13"/>
        <v>0</v>
      </c>
      <c r="J38" s="58">
        <f t="shared" si="13"/>
        <v>941162.27300000004</v>
      </c>
      <c r="K38" s="58">
        <f t="shared" si="13"/>
        <v>0</v>
      </c>
      <c r="L38" s="58">
        <f t="shared" si="13"/>
        <v>0</v>
      </c>
      <c r="M38" s="58">
        <f t="shared" si="13"/>
        <v>1176290.6710000001</v>
      </c>
      <c r="N38" s="58">
        <f t="shared" si="13"/>
        <v>0</v>
      </c>
      <c r="O38" s="58">
        <f t="shared" si="13"/>
        <v>1277513.49367</v>
      </c>
      <c r="P38" s="58">
        <f t="shared" si="13"/>
        <v>0</v>
      </c>
      <c r="Q38" s="58">
        <f t="shared" si="13"/>
        <v>0</v>
      </c>
      <c r="R38" s="58">
        <f t="shared" si="13"/>
        <v>1419960.2150000001</v>
      </c>
      <c r="S38" s="58">
        <f t="shared" si="13"/>
        <v>1501528.97</v>
      </c>
      <c r="T38" s="58">
        <f t="shared" si="13"/>
        <v>1765165.6720000003</v>
      </c>
      <c r="U38" s="58">
        <f t="shared" si="13"/>
        <v>2050054.8230000003</v>
      </c>
      <c r="V38" s="58">
        <f t="shared" si="13"/>
        <v>2164834.767</v>
      </c>
      <c r="W38" s="58">
        <f t="shared" si="13"/>
        <v>2248718.1050000004</v>
      </c>
      <c r="X38" s="58">
        <f t="shared" si="13"/>
        <v>2399755.088</v>
      </c>
      <c r="Y38" s="58">
        <f t="shared" si="13"/>
        <v>2464068.2000000002</v>
      </c>
      <c r="Z38" s="58">
        <f t="shared" si="13"/>
        <v>2611818.5470000003</v>
      </c>
      <c r="AA38" s="58">
        <f t="shared" si="13"/>
        <v>2702474.8360000001</v>
      </c>
      <c r="AB38" s="58">
        <f t="shared" si="13"/>
        <v>2861820.3739999998</v>
      </c>
      <c r="AC38" s="58">
        <f t="shared" si="13"/>
        <v>2939223</v>
      </c>
      <c r="AD38" s="58">
        <f t="shared" si="13"/>
        <v>2944647.9759999998</v>
      </c>
      <c r="AE38" s="58">
        <f t="shared" si="13"/>
        <v>2981047.2749999999</v>
      </c>
      <c r="AF38" s="58">
        <f t="shared" si="13"/>
        <v>1908859.4220000003</v>
      </c>
      <c r="AG38" s="58">
        <f t="shared" si="13"/>
        <v>1907113.186</v>
      </c>
      <c r="AH38" s="58">
        <f t="shared" si="13"/>
        <v>2943376.733</v>
      </c>
      <c r="AI38" s="58">
        <f t="shared" si="13"/>
        <v>3016825.9390000002</v>
      </c>
      <c r="AJ38" s="58">
        <f t="shared" si="13"/>
        <v>0</v>
      </c>
      <c r="AK38" s="58">
        <f t="shared" si="13"/>
        <v>3196453.091</v>
      </c>
    </row>
    <row r="39" spans="1:37" ht="12.75" customHeight="1">
      <c r="A39" s="6" t="s">
        <v>94</v>
      </c>
      <c r="AI39" s="1">
        <v>0</v>
      </c>
    </row>
    <row r="40" spans="1:37" ht="12.75" customHeight="1">
      <c r="A40" s="1" t="s">
        <v>52</v>
      </c>
      <c r="J40" s="157">
        <v>302603.22499999998</v>
      </c>
      <c r="M40" s="1">
        <v>403422.57400000002</v>
      </c>
      <c r="O40" s="1">
        <v>433746.42700000003</v>
      </c>
      <c r="R40" s="20">
        <v>494611.05499999999</v>
      </c>
      <c r="S40" s="1">
        <v>520136.02399999998</v>
      </c>
      <c r="T40" s="1">
        <v>604855.09</v>
      </c>
      <c r="U40" s="1">
        <v>590053.68700000003</v>
      </c>
      <c r="V40" s="1">
        <v>629447.26500000001</v>
      </c>
      <c r="W40" s="157">
        <v>657035.20799999998</v>
      </c>
      <c r="X40" s="157">
        <v>729953.80200000003</v>
      </c>
      <c r="Y40" s="157">
        <v>775954.26399999997</v>
      </c>
      <c r="Z40" s="157">
        <v>840403.08100000001</v>
      </c>
      <c r="AA40" s="157">
        <v>873902.93599999999</v>
      </c>
      <c r="AB40" s="157">
        <v>899403.51899999997</v>
      </c>
      <c r="AC40" s="157">
        <v>914527</v>
      </c>
      <c r="AD40" s="1">
        <v>924855.11399999994</v>
      </c>
      <c r="AE40" s="1">
        <v>942823.745</v>
      </c>
      <c r="AF40" s="1">
        <v>557113.723</v>
      </c>
      <c r="AG40" s="1">
        <v>582879.74699999997</v>
      </c>
      <c r="AH40" s="1">
        <v>1081660.1359999999</v>
      </c>
      <c r="AI40" s="1">
        <v>1115051.584</v>
      </c>
      <c r="AK40" s="1">
        <v>1141044.0930000001</v>
      </c>
    </row>
    <row r="41" spans="1:37" ht="12.75" customHeight="1">
      <c r="A41" s="1" t="s">
        <v>53</v>
      </c>
      <c r="J41" s="157">
        <v>0</v>
      </c>
      <c r="M41" s="1">
        <v>0</v>
      </c>
      <c r="O41" s="1">
        <v>0</v>
      </c>
      <c r="R41" s="20">
        <v>0</v>
      </c>
      <c r="S41" s="1">
        <v>0</v>
      </c>
      <c r="T41" s="1">
        <v>0</v>
      </c>
      <c r="U41" s="1">
        <v>0</v>
      </c>
      <c r="V41" s="1">
        <v>0</v>
      </c>
      <c r="W41" s="157">
        <v>0</v>
      </c>
      <c r="X41" s="157">
        <v>0</v>
      </c>
      <c r="Y41" s="157">
        <v>0</v>
      </c>
      <c r="Z41" s="157">
        <v>0</v>
      </c>
      <c r="AA41" s="157">
        <v>0</v>
      </c>
      <c r="AB41" s="157">
        <v>0</v>
      </c>
      <c r="AC41" s="157">
        <v>0</v>
      </c>
      <c r="AD41" s="1">
        <v>0</v>
      </c>
      <c r="AE41" s="1">
        <v>0</v>
      </c>
      <c r="AF41" s="1">
        <v>0</v>
      </c>
      <c r="AG41" s="1">
        <v>0</v>
      </c>
      <c r="AH41" s="1">
        <v>0</v>
      </c>
      <c r="AI41" s="1">
        <v>0</v>
      </c>
      <c r="AK41" s="1">
        <v>0</v>
      </c>
    </row>
    <row r="42" spans="1:37" ht="12.75" customHeight="1">
      <c r="A42" s="1" t="s">
        <v>54</v>
      </c>
      <c r="J42" s="157">
        <v>23211.089</v>
      </c>
      <c r="M42" s="1">
        <v>26528.582999999999</v>
      </c>
      <c r="O42" s="1">
        <v>28003.976999999999</v>
      </c>
      <c r="R42" s="20">
        <v>34392.976999999999</v>
      </c>
      <c r="S42" s="1">
        <v>36129.294000000002</v>
      </c>
      <c r="T42" s="1">
        <v>37262.025999999998</v>
      </c>
      <c r="U42" s="1">
        <v>65770.652000000002</v>
      </c>
      <c r="V42" s="1">
        <v>65216.904000000002</v>
      </c>
      <c r="W42" s="157">
        <v>67203.822</v>
      </c>
      <c r="X42" s="157">
        <v>73502.054999999993</v>
      </c>
      <c r="Y42" s="157">
        <v>80541.425000000003</v>
      </c>
      <c r="Z42" s="157">
        <v>79854.786999999997</v>
      </c>
      <c r="AA42" s="157">
        <v>90426.705000000002</v>
      </c>
      <c r="AB42" s="157">
        <v>99099.214000000007</v>
      </c>
      <c r="AC42" s="157">
        <v>107022</v>
      </c>
      <c r="AD42" s="1">
        <v>114880.209</v>
      </c>
      <c r="AE42" s="1">
        <v>117352.694</v>
      </c>
      <c r="AF42" s="1">
        <v>120083.014</v>
      </c>
      <c r="AG42" s="1">
        <v>122216.531</v>
      </c>
      <c r="AH42" s="1">
        <v>140232.815</v>
      </c>
      <c r="AI42" s="1">
        <v>147959.65100000001</v>
      </c>
      <c r="AK42" s="1">
        <v>159972.07199999999</v>
      </c>
    </row>
    <row r="43" spans="1:37" ht="12.75" customHeight="1">
      <c r="A43" s="1" t="s">
        <v>55</v>
      </c>
      <c r="J43" s="157">
        <v>78019.894</v>
      </c>
      <c r="M43" s="1">
        <v>106999.76</v>
      </c>
      <c r="O43" s="1">
        <v>109962.96939</v>
      </c>
      <c r="R43" s="20">
        <v>130522.253</v>
      </c>
      <c r="S43" s="1">
        <v>135435.351</v>
      </c>
      <c r="T43" s="1">
        <v>144166.454</v>
      </c>
      <c r="U43" s="1">
        <v>162102.38200000001</v>
      </c>
      <c r="V43" s="1">
        <v>170629.603</v>
      </c>
      <c r="W43" s="157">
        <v>174042.34400000001</v>
      </c>
      <c r="X43" s="157">
        <v>189315.125</v>
      </c>
      <c r="Y43" s="157">
        <v>196832.5</v>
      </c>
      <c r="Z43" s="157">
        <v>206012.79999999999</v>
      </c>
      <c r="AA43" s="157">
        <v>207826.421</v>
      </c>
      <c r="AB43" s="157">
        <v>207183.69200000001</v>
      </c>
      <c r="AC43" s="157">
        <v>205761</v>
      </c>
      <c r="AD43" s="1">
        <v>209844.97500000001</v>
      </c>
      <c r="AE43" s="1">
        <v>216866.72200000001</v>
      </c>
      <c r="AF43" s="1">
        <v>199378.024</v>
      </c>
      <c r="AG43" s="1">
        <v>208672.61</v>
      </c>
      <c r="AH43" s="1">
        <v>243307.19099999999</v>
      </c>
      <c r="AI43" s="1">
        <v>253612.27600000001</v>
      </c>
      <c r="AK43" s="1">
        <v>277896.83899999998</v>
      </c>
    </row>
    <row r="44" spans="1:37" ht="12.75" customHeight="1">
      <c r="A44" s="1" t="s">
        <v>56</v>
      </c>
      <c r="J44" s="157">
        <v>180451.84</v>
      </c>
      <c r="M44" s="1">
        <v>258370.13200000001</v>
      </c>
      <c r="O44" s="1">
        <v>207360.61567</v>
      </c>
      <c r="R44" s="20">
        <v>275185.57799999998</v>
      </c>
      <c r="S44" s="1">
        <v>288112.33799999999</v>
      </c>
      <c r="T44" s="1">
        <v>363167.15700000001</v>
      </c>
      <c r="U44" s="1">
        <v>483304.62599999999</v>
      </c>
      <c r="V44" s="1">
        <v>503319.07799999998</v>
      </c>
      <c r="W44" s="157">
        <v>519587.79499999998</v>
      </c>
      <c r="X44" s="157">
        <v>535400.51500000001</v>
      </c>
      <c r="Y44" s="157">
        <v>575549.80700000003</v>
      </c>
      <c r="Z44" s="157">
        <v>602296.24699999997</v>
      </c>
      <c r="AA44" s="157">
        <v>605772.755</v>
      </c>
      <c r="AB44" s="157">
        <v>596436.06200000003</v>
      </c>
      <c r="AC44" s="157">
        <v>551945</v>
      </c>
      <c r="AD44" s="1">
        <v>523770.84899999999</v>
      </c>
      <c r="AE44" s="1">
        <v>511749.42099999997</v>
      </c>
      <c r="AF44" s="1">
        <v>472399.14500000002</v>
      </c>
      <c r="AG44" s="1">
        <v>485207.57799999998</v>
      </c>
      <c r="AH44" s="1">
        <v>555496.50199999998</v>
      </c>
      <c r="AI44" s="1">
        <v>559345.86800000002</v>
      </c>
      <c r="AK44" s="1">
        <v>595806.78200000001</v>
      </c>
    </row>
    <row r="45" spans="1:37" ht="12.75" customHeight="1">
      <c r="A45" s="1" t="s">
        <v>57</v>
      </c>
      <c r="J45" s="157">
        <v>15834.787</v>
      </c>
      <c r="M45" s="1">
        <v>5142.7290000000003</v>
      </c>
      <c r="O45" s="1">
        <v>0</v>
      </c>
      <c r="R45" s="20">
        <v>0</v>
      </c>
      <c r="S45" s="1">
        <v>0</v>
      </c>
      <c r="T45" s="1">
        <v>0</v>
      </c>
      <c r="U45" s="1">
        <v>0</v>
      </c>
      <c r="V45" s="1">
        <v>0</v>
      </c>
      <c r="W45" s="157">
        <v>0</v>
      </c>
      <c r="X45" s="157">
        <v>0</v>
      </c>
      <c r="Y45" s="157">
        <v>0</v>
      </c>
      <c r="Z45" s="157">
        <v>0</v>
      </c>
      <c r="AA45" s="157">
        <v>0</v>
      </c>
      <c r="AB45" s="157">
        <v>0</v>
      </c>
      <c r="AC45" s="157">
        <v>0</v>
      </c>
      <c r="AD45" s="1">
        <v>0</v>
      </c>
      <c r="AE45" s="1">
        <v>0</v>
      </c>
      <c r="AF45" s="1">
        <v>0</v>
      </c>
      <c r="AG45" s="1">
        <v>0</v>
      </c>
      <c r="AH45" s="1">
        <v>0</v>
      </c>
      <c r="AI45" s="1">
        <v>0</v>
      </c>
      <c r="AK45" s="1">
        <v>0</v>
      </c>
    </row>
    <row r="46" spans="1:37" ht="12.75" customHeight="1">
      <c r="A46" s="1" t="s">
        <v>58</v>
      </c>
      <c r="J46" s="157">
        <v>40539.603999999999</v>
      </c>
      <c r="M46" s="1">
        <v>15017.958000000001</v>
      </c>
      <c r="O46" s="1">
        <v>76950.691000000006</v>
      </c>
      <c r="R46" s="20">
        <v>23952.407999999999</v>
      </c>
      <c r="S46" s="1">
        <v>33198.83</v>
      </c>
      <c r="T46" s="1">
        <v>27800.877</v>
      </c>
      <c r="U46" s="1">
        <v>37961.449999999997</v>
      </c>
      <c r="V46" s="1">
        <v>40552.158000000003</v>
      </c>
      <c r="W46" s="157">
        <v>41503.667999999998</v>
      </c>
      <c r="X46" s="157">
        <v>45089.904000000002</v>
      </c>
      <c r="Y46" s="157">
        <v>46103.394999999997</v>
      </c>
      <c r="Z46" s="157">
        <v>50616.076000000001</v>
      </c>
      <c r="AA46" s="157">
        <v>52706.756999999998</v>
      </c>
      <c r="AB46" s="157">
        <v>52504.563999999998</v>
      </c>
      <c r="AC46" s="157">
        <v>117325</v>
      </c>
      <c r="AD46" s="1">
        <v>115447.235</v>
      </c>
      <c r="AE46" s="1">
        <v>116892.658</v>
      </c>
      <c r="AF46" s="1">
        <v>147972.52299999999</v>
      </c>
      <c r="AG46" s="1">
        <v>139345.098</v>
      </c>
      <c r="AH46" s="1">
        <v>152018.50700000001</v>
      </c>
      <c r="AI46" s="1">
        <v>157276.75899999999</v>
      </c>
      <c r="AK46" s="1">
        <v>169794.704</v>
      </c>
    </row>
    <row r="47" spans="1:37" ht="12.75" customHeight="1">
      <c r="A47" s="1" t="s">
        <v>59</v>
      </c>
      <c r="J47" s="157">
        <v>29246.164000000001</v>
      </c>
      <c r="M47" s="1">
        <v>32444.39</v>
      </c>
      <c r="O47" s="1">
        <v>56416.305999999997</v>
      </c>
      <c r="R47" s="27">
        <v>24928.31</v>
      </c>
      <c r="S47" s="1">
        <v>19872.094000000001</v>
      </c>
      <c r="T47" s="1">
        <v>49581.046000000002</v>
      </c>
      <c r="U47" s="1">
        <v>60221.771999999997</v>
      </c>
      <c r="V47" s="1">
        <v>68574.111000000004</v>
      </c>
      <c r="W47" s="157">
        <v>75656.438999999998</v>
      </c>
      <c r="X47" s="157">
        <v>78450.159</v>
      </c>
      <c r="Y47" s="157">
        <v>84228.866999999998</v>
      </c>
      <c r="Z47" s="157">
        <v>93493.305999999997</v>
      </c>
      <c r="AA47" s="157">
        <v>100596.00199999999</v>
      </c>
      <c r="AB47" s="157">
        <v>122263.30499999999</v>
      </c>
      <c r="AC47" s="157">
        <v>120979</v>
      </c>
      <c r="AD47" s="1">
        <v>127736.65399999999</v>
      </c>
      <c r="AE47" s="1">
        <v>134269.83100000001</v>
      </c>
      <c r="AF47" s="1">
        <v>103536.19100000001</v>
      </c>
      <c r="AG47" s="1">
        <v>107909.281</v>
      </c>
      <c r="AH47" s="1">
        <v>160297.28599999999</v>
      </c>
      <c r="AI47" s="1">
        <v>169508.86799999999</v>
      </c>
      <c r="AK47" s="1">
        <v>178019.39</v>
      </c>
    </row>
    <row r="48" spans="1:37" ht="12.75" customHeight="1">
      <c r="A48" s="1" t="s">
        <v>60</v>
      </c>
      <c r="J48" s="157">
        <v>18.542999999999999</v>
      </c>
      <c r="M48" s="1">
        <v>5.1790000000000003</v>
      </c>
      <c r="O48" s="1">
        <v>334.89801</v>
      </c>
      <c r="R48" s="20">
        <v>20.565000000000001</v>
      </c>
      <c r="S48" s="1">
        <v>20.782</v>
      </c>
      <c r="T48" s="1">
        <v>21.539000000000001</v>
      </c>
      <c r="U48" s="1">
        <v>1548.6</v>
      </c>
      <c r="V48" s="1">
        <v>0</v>
      </c>
      <c r="W48" s="157">
        <v>0</v>
      </c>
      <c r="X48" s="157">
        <v>0</v>
      </c>
      <c r="Y48" s="157">
        <v>0</v>
      </c>
      <c r="Z48" s="157">
        <v>0</v>
      </c>
      <c r="AA48" s="157">
        <v>0</v>
      </c>
      <c r="AB48" s="157">
        <v>0</v>
      </c>
      <c r="AC48" s="157">
        <v>0</v>
      </c>
      <c r="AD48" s="1">
        <v>0</v>
      </c>
      <c r="AE48" s="1">
        <v>0</v>
      </c>
      <c r="AF48" s="1">
        <v>0</v>
      </c>
      <c r="AG48" s="1">
        <v>0</v>
      </c>
      <c r="AH48" s="1">
        <v>0</v>
      </c>
      <c r="AI48" s="1">
        <v>0</v>
      </c>
      <c r="AK48" s="1">
        <v>0</v>
      </c>
    </row>
    <row r="49" spans="1:37" ht="12.75" customHeight="1">
      <c r="A49" s="1" t="s">
        <v>61</v>
      </c>
      <c r="J49" s="157">
        <v>61285.279999999999</v>
      </c>
      <c r="M49" s="1">
        <v>69410.663</v>
      </c>
      <c r="O49" s="1">
        <v>71481.653999999995</v>
      </c>
      <c r="R49" s="20">
        <v>86430.087</v>
      </c>
      <c r="S49" s="1">
        <v>88976.288</v>
      </c>
      <c r="T49" s="1">
        <v>93739.31</v>
      </c>
      <c r="U49" s="1">
        <v>108491.986</v>
      </c>
      <c r="V49" s="1">
        <v>121943.624</v>
      </c>
      <c r="W49" s="157">
        <v>123566.90399999999</v>
      </c>
      <c r="X49" s="157">
        <v>126529.79700000001</v>
      </c>
      <c r="Y49" s="157">
        <v>133803.49900000001</v>
      </c>
      <c r="Z49" s="157">
        <v>141039.14199999999</v>
      </c>
      <c r="AA49" s="157">
        <v>144412.57</v>
      </c>
      <c r="AB49" s="157">
        <v>145807.37400000001</v>
      </c>
      <c r="AC49" s="157">
        <v>163891</v>
      </c>
      <c r="AD49" s="1">
        <v>158189.557</v>
      </c>
      <c r="AE49" s="1">
        <v>151994.95600000001</v>
      </c>
      <c r="AF49" s="1">
        <v>164763.72200000001</v>
      </c>
      <c r="AG49" s="1">
        <v>173262.81700000001</v>
      </c>
      <c r="AH49" s="1">
        <v>190091.508</v>
      </c>
      <c r="AI49" s="1">
        <v>178478.84099999999</v>
      </c>
      <c r="AK49" s="1">
        <v>215668.16800000001</v>
      </c>
    </row>
    <row r="50" spans="1:37" ht="12.75" customHeight="1">
      <c r="A50" s="1" t="s">
        <v>62</v>
      </c>
      <c r="J50" s="157">
        <v>0</v>
      </c>
      <c r="M50" s="1">
        <v>0</v>
      </c>
      <c r="O50" s="1">
        <v>47.916599999999995</v>
      </c>
      <c r="R50" s="20">
        <v>0</v>
      </c>
      <c r="S50" s="1">
        <v>0</v>
      </c>
      <c r="T50" s="1">
        <v>0</v>
      </c>
      <c r="U50" s="1">
        <v>0</v>
      </c>
      <c r="V50" s="1">
        <v>0</v>
      </c>
      <c r="W50" s="157">
        <v>0</v>
      </c>
      <c r="X50" s="157">
        <v>0</v>
      </c>
      <c r="Y50" s="157">
        <v>164.761</v>
      </c>
      <c r="Z50" s="157">
        <v>0</v>
      </c>
      <c r="AA50" s="157">
        <v>0</v>
      </c>
      <c r="AB50" s="157">
        <v>0</v>
      </c>
      <c r="AC50" s="157">
        <v>0</v>
      </c>
      <c r="AD50" s="1">
        <v>0</v>
      </c>
      <c r="AE50" s="1">
        <v>0</v>
      </c>
      <c r="AF50" s="1">
        <v>0</v>
      </c>
      <c r="AG50" s="1">
        <v>0</v>
      </c>
      <c r="AH50" s="1">
        <v>0</v>
      </c>
      <c r="AI50" s="1">
        <v>0</v>
      </c>
      <c r="AK50" s="1">
        <v>0</v>
      </c>
    </row>
    <row r="51" spans="1:37" ht="12.75" customHeight="1">
      <c r="A51" s="30" t="s">
        <v>63</v>
      </c>
      <c r="B51" s="30"/>
      <c r="C51" s="30"/>
      <c r="D51" s="30"/>
      <c r="E51" s="30"/>
      <c r="F51" s="30"/>
      <c r="G51" s="30"/>
      <c r="H51" s="30"/>
      <c r="I51" s="30"/>
      <c r="J51" s="158">
        <v>209951.84700000001</v>
      </c>
      <c r="K51" s="30"/>
      <c r="L51" s="30"/>
      <c r="M51" s="30">
        <v>258948.70300000001</v>
      </c>
      <c r="N51" s="30"/>
      <c r="O51" s="30">
        <v>293208.03899999999</v>
      </c>
      <c r="P51" s="30"/>
      <c r="Q51" s="30"/>
      <c r="R51" s="40">
        <v>349916.98200000002</v>
      </c>
      <c r="S51" s="30">
        <v>379647.96899999998</v>
      </c>
      <c r="T51" s="30">
        <v>444572.17300000001</v>
      </c>
      <c r="U51" s="30">
        <v>540599.66799999995</v>
      </c>
      <c r="V51" s="30">
        <v>565152.02399999998</v>
      </c>
      <c r="W51" s="158">
        <v>590121.92500000005</v>
      </c>
      <c r="X51" s="158">
        <v>621513.73100000003</v>
      </c>
      <c r="Y51" s="158">
        <v>570889.68200000003</v>
      </c>
      <c r="Z51" s="158">
        <v>598103.10800000001</v>
      </c>
      <c r="AA51" s="158">
        <v>626830.68999999994</v>
      </c>
      <c r="AB51" s="158">
        <v>739122.64399999997</v>
      </c>
      <c r="AC51" s="158">
        <v>757773</v>
      </c>
      <c r="AD51" s="30">
        <v>769923.38300000003</v>
      </c>
      <c r="AE51" s="30">
        <v>789097.24800000002</v>
      </c>
      <c r="AF51" s="30">
        <v>143613.07999999999</v>
      </c>
      <c r="AG51" s="30">
        <v>87619.524000000005</v>
      </c>
      <c r="AH51" s="30">
        <v>420272.788</v>
      </c>
      <c r="AI51" s="30">
        <v>435592.092</v>
      </c>
      <c r="AJ51" s="30"/>
      <c r="AK51" s="30">
        <v>458251.04300000001</v>
      </c>
    </row>
    <row r="52" spans="1:37" ht="12.75" customHeight="1">
      <c r="A52" s="6" t="s">
        <v>64</v>
      </c>
      <c r="B52" s="58">
        <f>SUM(B54:B62)</f>
        <v>0</v>
      </c>
      <c r="C52" s="58">
        <f t="shared" ref="C52:AK52" si="14">SUM(C54:C62)</f>
        <v>0</v>
      </c>
      <c r="D52" s="58">
        <f t="shared" si="14"/>
        <v>0</v>
      </c>
      <c r="E52" s="58">
        <f t="shared" si="14"/>
        <v>0</v>
      </c>
      <c r="F52" s="58">
        <f t="shared" si="14"/>
        <v>0</v>
      </c>
      <c r="G52" s="58">
        <f t="shared" si="14"/>
        <v>0</v>
      </c>
      <c r="H52" s="58">
        <f t="shared" si="14"/>
        <v>0</v>
      </c>
      <c r="I52" s="58">
        <f t="shared" si="14"/>
        <v>0</v>
      </c>
      <c r="J52" s="58">
        <f t="shared" si="14"/>
        <v>424255.59600000002</v>
      </c>
      <c r="K52" s="58">
        <f t="shared" si="14"/>
        <v>0</v>
      </c>
      <c r="L52" s="58">
        <f t="shared" si="14"/>
        <v>0</v>
      </c>
      <c r="M52" s="58">
        <f t="shared" si="14"/>
        <v>477591.57999999996</v>
      </c>
      <c r="N52" s="58">
        <f t="shared" si="14"/>
        <v>0</v>
      </c>
      <c r="O52" s="58">
        <f t="shared" si="14"/>
        <v>538317.31999999995</v>
      </c>
      <c r="P52" s="58">
        <f t="shared" si="14"/>
        <v>0</v>
      </c>
      <c r="Q52" s="58">
        <f t="shared" si="14"/>
        <v>0</v>
      </c>
      <c r="R52" s="58">
        <f t="shared" si="14"/>
        <v>557150.929</v>
      </c>
      <c r="S52" s="58">
        <f t="shared" si="14"/>
        <v>618835.29399999999</v>
      </c>
      <c r="T52" s="58">
        <f t="shared" si="14"/>
        <v>649937.18900000001</v>
      </c>
      <c r="U52" s="58">
        <f t="shared" si="14"/>
        <v>683428.52</v>
      </c>
      <c r="V52" s="58">
        <f t="shared" si="14"/>
        <v>703299.16700000002</v>
      </c>
      <c r="W52" s="58">
        <f t="shared" si="14"/>
        <v>750181.78099999996</v>
      </c>
      <c r="X52" s="58">
        <f t="shared" si="14"/>
        <v>797209.598</v>
      </c>
      <c r="Y52" s="58">
        <f t="shared" si="14"/>
        <v>844354.87300000002</v>
      </c>
      <c r="Z52" s="58">
        <f t="shared" si="14"/>
        <v>878493.6100000001</v>
      </c>
      <c r="AA52" s="58">
        <f t="shared" si="14"/>
        <v>898791.65099999995</v>
      </c>
      <c r="AB52" s="58">
        <f t="shared" si="14"/>
        <v>912888.83100000001</v>
      </c>
      <c r="AC52" s="58">
        <f t="shared" si="14"/>
        <v>914344</v>
      </c>
      <c r="AD52" s="58">
        <f t="shared" si="14"/>
        <v>929849.9219999999</v>
      </c>
      <c r="AE52" s="58">
        <f t="shared" si="14"/>
        <v>938633.83499999996</v>
      </c>
      <c r="AF52" s="58">
        <f t="shared" si="14"/>
        <v>935639.18400000001</v>
      </c>
      <c r="AG52" s="58">
        <f t="shared" si="14"/>
        <v>957917.77400000009</v>
      </c>
      <c r="AH52" s="58">
        <f t="shared" si="14"/>
        <v>1080297.585</v>
      </c>
      <c r="AI52" s="58">
        <f t="shared" si="14"/>
        <v>1080134.1610000001</v>
      </c>
      <c r="AJ52" s="58">
        <f t="shared" si="14"/>
        <v>0</v>
      </c>
      <c r="AK52" s="58">
        <f t="shared" si="14"/>
        <v>1162072.084</v>
      </c>
    </row>
    <row r="53" spans="1:37" ht="12.75" customHeight="1">
      <c r="A53" s="6" t="s">
        <v>94</v>
      </c>
      <c r="AI53" s="1">
        <v>0</v>
      </c>
    </row>
    <row r="54" spans="1:37" ht="12.75" customHeight="1">
      <c r="A54" s="1" t="s">
        <v>65</v>
      </c>
      <c r="J54" s="157">
        <v>0</v>
      </c>
      <c r="M54" s="1">
        <v>0</v>
      </c>
      <c r="O54" s="1">
        <v>0</v>
      </c>
      <c r="R54" s="20">
        <v>0</v>
      </c>
      <c r="S54" s="1">
        <v>0</v>
      </c>
      <c r="T54" s="1">
        <v>0</v>
      </c>
      <c r="U54" s="1">
        <v>0</v>
      </c>
      <c r="V54" s="1">
        <v>0</v>
      </c>
      <c r="W54" s="157">
        <v>0</v>
      </c>
      <c r="X54" s="157">
        <v>0</v>
      </c>
      <c r="Y54" s="157">
        <v>0</v>
      </c>
      <c r="Z54" s="157">
        <v>0</v>
      </c>
      <c r="AA54" s="157">
        <v>0</v>
      </c>
      <c r="AB54" s="157">
        <v>0</v>
      </c>
      <c r="AC54" s="157">
        <v>0</v>
      </c>
      <c r="AD54" s="1">
        <v>0</v>
      </c>
      <c r="AE54" s="1">
        <v>0</v>
      </c>
      <c r="AF54" s="1">
        <v>0</v>
      </c>
      <c r="AG54" s="1">
        <v>0</v>
      </c>
      <c r="AH54" s="1">
        <v>0</v>
      </c>
      <c r="AI54" s="1">
        <v>0</v>
      </c>
      <c r="AK54" s="1">
        <v>0</v>
      </c>
    </row>
    <row r="55" spans="1:37" ht="12.75" customHeight="1">
      <c r="A55" s="1" t="s">
        <v>66</v>
      </c>
      <c r="J55" s="157">
        <v>0</v>
      </c>
      <c r="M55" s="1">
        <v>0</v>
      </c>
      <c r="O55" s="1">
        <v>0</v>
      </c>
      <c r="R55" s="20">
        <v>0</v>
      </c>
      <c r="S55" s="1">
        <v>0</v>
      </c>
      <c r="T55" s="1">
        <v>0</v>
      </c>
      <c r="U55" s="1">
        <v>0</v>
      </c>
      <c r="V55" s="1">
        <v>0</v>
      </c>
      <c r="W55" s="157">
        <v>0</v>
      </c>
      <c r="X55" s="157">
        <v>0</v>
      </c>
      <c r="Y55" s="157">
        <v>0</v>
      </c>
      <c r="Z55" s="157">
        <v>0</v>
      </c>
      <c r="AA55" s="157">
        <v>0</v>
      </c>
      <c r="AB55" s="157">
        <v>0</v>
      </c>
      <c r="AC55" s="157">
        <v>0</v>
      </c>
      <c r="AD55" s="1">
        <v>0</v>
      </c>
      <c r="AE55" s="1">
        <v>0</v>
      </c>
      <c r="AF55" s="1">
        <v>0</v>
      </c>
      <c r="AG55" s="1">
        <v>0</v>
      </c>
      <c r="AH55" s="1">
        <v>0</v>
      </c>
      <c r="AI55" s="1">
        <v>0</v>
      </c>
      <c r="AK55" s="1">
        <v>0</v>
      </c>
    </row>
    <row r="56" spans="1:37" ht="12.75" customHeight="1">
      <c r="A56" s="1" t="s">
        <v>67</v>
      </c>
      <c r="J56" s="157">
        <v>39.279000000000003</v>
      </c>
      <c r="M56" s="1">
        <v>71.116</v>
      </c>
      <c r="O56" s="1">
        <v>3064.585</v>
      </c>
      <c r="R56" s="20">
        <v>0</v>
      </c>
      <c r="S56" s="1">
        <v>0</v>
      </c>
      <c r="T56" s="1">
        <v>0</v>
      </c>
      <c r="U56" s="1">
        <v>0</v>
      </c>
      <c r="V56" s="1">
        <v>0</v>
      </c>
      <c r="W56" s="157">
        <v>0</v>
      </c>
      <c r="X56" s="157">
        <v>0</v>
      </c>
      <c r="Y56" s="157">
        <v>0</v>
      </c>
      <c r="Z56" s="157">
        <v>0</v>
      </c>
      <c r="AA56" s="157">
        <v>0</v>
      </c>
      <c r="AB56" s="157">
        <v>0</v>
      </c>
      <c r="AC56" s="157">
        <v>0</v>
      </c>
      <c r="AD56" s="1">
        <v>0</v>
      </c>
      <c r="AE56" s="1">
        <v>0</v>
      </c>
      <c r="AF56" s="1">
        <v>0</v>
      </c>
      <c r="AG56" s="1">
        <v>0</v>
      </c>
      <c r="AH56" s="1">
        <v>0</v>
      </c>
      <c r="AI56" s="1">
        <v>0</v>
      </c>
      <c r="AK56" s="1">
        <v>0</v>
      </c>
    </row>
    <row r="57" spans="1:37" ht="12.75" customHeight="1">
      <c r="A57" s="1" t="s">
        <v>68</v>
      </c>
      <c r="J57" s="157">
        <v>0</v>
      </c>
      <c r="M57" s="1">
        <v>0</v>
      </c>
      <c r="O57" s="1">
        <v>0</v>
      </c>
      <c r="R57" s="27">
        <v>139.87899999999999</v>
      </c>
      <c r="S57" s="1">
        <v>0</v>
      </c>
      <c r="T57" s="1">
        <v>0</v>
      </c>
      <c r="U57" s="1">
        <v>0</v>
      </c>
      <c r="V57" s="1">
        <v>0</v>
      </c>
      <c r="W57" s="157">
        <v>0</v>
      </c>
      <c r="X57" s="157">
        <v>0</v>
      </c>
      <c r="Y57" s="157">
        <v>0</v>
      </c>
      <c r="Z57" s="157">
        <v>0</v>
      </c>
      <c r="AA57" s="157">
        <v>0</v>
      </c>
      <c r="AB57" s="157">
        <v>0</v>
      </c>
      <c r="AC57" s="157">
        <v>7</v>
      </c>
      <c r="AD57" s="1">
        <v>0</v>
      </c>
      <c r="AE57" s="1">
        <v>0</v>
      </c>
      <c r="AF57" s="1">
        <v>0</v>
      </c>
      <c r="AG57" s="1">
        <v>0</v>
      </c>
      <c r="AH57" s="1">
        <v>0</v>
      </c>
      <c r="AI57" s="1">
        <v>0</v>
      </c>
      <c r="AK57" s="1">
        <v>0</v>
      </c>
    </row>
    <row r="58" spans="1:37" ht="12.75" customHeight="1">
      <c r="A58" s="1" t="s">
        <v>69</v>
      </c>
      <c r="J58" s="157">
        <v>145908.92600000001</v>
      </c>
      <c r="M58" s="1">
        <v>159878.48199999999</v>
      </c>
      <c r="O58" s="1">
        <v>160277.905</v>
      </c>
      <c r="R58" s="27">
        <v>165639.62599999999</v>
      </c>
      <c r="S58" s="1">
        <v>180874.989</v>
      </c>
      <c r="T58" s="1">
        <v>170885.54199999999</v>
      </c>
      <c r="U58" s="1">
        <v>181404.027</v>
      </c>
      <c r="V58" s="1">
        <v>185080.86600000001</v>
      </c>
      <c r="W58" s="157">
        <v>190575.386</v>
      </c>
      <c r="X58" s="157">
        <v>195501.546</v>
      </c>
      <c r="Y58" s="157">
        <v>203337.913</v>
      </c>
      <c r="Z58" s="157">
        <v>210208.70600000001</v>
      </c>
      <c r="AA58" s="157">
        <v>216991.27299999999</v>
      </c>
      <c r="AB58" s="157">
        <v>211947.32800000001</v>
      </c>
      <c r="AC58" s="157">
        <v>211638</v>
      </c>
      <c r="AD58" s="1">
        <v>194451.79800000001</v>
      </c>
      <c r="AE58" s="1">
        <v>194040.61</v>
      </c>
      <c r="AF58" s="1">
        <v>199631.33100000001</v>
      </c>
      <c r="AG58" s="1">
        <v>201487.14499999999</v>
      </c>
      <c r="AH58" s="1">
        <v>206835.84299999999</v>
      </c>
      <c r="AI58" s="1">
        <v>212472.31899999999</v>
      </c>
      <c r="AK58" s="1">
        <v>219775.04199999999</v>
      </c>
    </row>
    <row r="59" spans="1:37" ht="12.75" customHeight="1">
      <c r="A59" s="1" t="s">
        <v>70</v>
      </c>
      <c r="J59" s="157">
        <v>211036.715</v>
      </c>
      <c r="M59" s="1">
        <v>237312.04399999999</v>
      </c>
      <c r="O59" s="1">
        <v>290152.65700000001</v>
      </c>
      <c r="R59" s="27">
        <v>293467.85399999999</v>
      </c>
      <c r="S59" s="1">
        <v>343621.81199999998</v>
      </c>
      <c r="T59" s="1">
        <v>377088.30599999998</v>
      </c>
      <c r="U59" s="1">
        <v>396861.00699999998</v>
      </c>
      <c r="V59" s="1">
        <v>410863.272</v>
      </c>
      <c r="W59" s="157">
        <v>450475.01400000002</v>
      </c>
      <c r="X59" s="157">
        <v>489987.136</v>
      </c>
      <c r="Y59" s="157">
        <v>523620.05900000001</v>
      </c>
      <c r="Z59" s="157">
        <v>550516.90800000005</v>
      </c>
      <c r="AA59" s="157">
        <v>565487.78899999999</v>
      </c>
      <c r="AB59" s="157">
        <v>582194.20299999998</v>
      </c>
      <c r="AC59" s="157">
        <v>584732</v>
      </c>
      <c r="AD59" s="1">
        <v>623874.35199999996</v>
      </c>
      <c r="AE59" s="1">
        <v>630986.30900000001</v>
      </c>
      <c r="AF59" s="1">
        <v>624761.84100000001</v>
      </c>
      <c r="AG59" s="1">
        <v>643498.25800000003</v>
      </c>
      <c r="AH59" s="1">
        <v>758600.02300000004</v>
      </c>
      <c r="AI59" s="1">
        <v>747906.05900000001</v>
      </c>
      <c r="AK59" s="1">
        <v>818260.12600000005</v>
      </c>
    </row>
    <row r="60" spans="1:37" ht="12.75" customHeight="1">
      <c r="A60" s="1" t="s">
        <v>71</v>
      </c>
      <c r="J60" s="157">
        <v>67270.676000000007</v>
      </c>
      <c r="M60" s="1">
        <v>80329.937999999995</v>
      </c>
      <c r="O60" s="1">
        <v>84822.172999999995</v>
      </c>
      <c r="R60" s="20">
        <v>97903.57</v>
      </c>
      <c r="S60" s="1">
        <v>94338.493000000002</v>
      </c>
      <c r="T60" s="1">
        <v>101963.341</v>
      </c>
      <c r="U60" s="1">
        <v>105163.486</v>
      </c>
      <c r="V60" s="1">
        <v>107355.02899999999</v>
      </c>
      <c r="W60" s="157">
        <v>109131.38099999999</v>
      </c>
      <c r="X60" s="157">
        <v>111720.916</v>
      </c>
      <c r="Y60" s="157">
        <v>117396.901</v>
      </c>
      <c r="Z60" s="157">
        <v>117767.996</v>
      </c>
      <c r="AA60" s="157">
        <v>116312.58900000001</v>
      </c>
      <c r="AB60" s="157">
        <v>118747.3</v>
      </c>
      <c r="AC60" s="157">
        <v>117967</v>
      </c>
      <c r="AD60" s="1">
        <v>111523.772</v>
      </c>
      <c r="AE60" s="1">
        <v>113606.916</v>
      </c>
      <c r="AF60" s="1">
        <v>111246.012</v>
      </c>
      <c r="AG60" s="1">
        <v>112932.371</v>
      </c>
      <c r="AH60" s="1">
        <v>114861.719</v>
      </c>
      <c r="AI60" s="1">
        <v>119755.783</v>
      </c>
      <c r="AK60" s="1">
        <v>124036.916</v>
      </c>
    </row>
    <row r="61" spans="1:37" ht="12.75" customHeight="1">
      <c r="A61" s="1" t="s">
        <v>72</v>
      </c>
      <c r="J61" s="157">
        <v>0</v>
      </c>
      <c r="M61" s="1">
        <v>0</v>
      </c>
      <c r="O61" s="1">
        <v>0</v>
      </c>
      <c r="R61" s="20">
        <v>0</v>
      </c>
      <c r="S61" s="1">
        <v>0</v>
      </c>
      <c r="T61" s="1">
        <v>0</v>
      </c>
      <c r="U61" s="1">
        <v>0</v>
      </c>
      <c r="V61" s="1">
        <v>0</v>
      </c>
      <c r="W61" s="157">
        <v>0</v>
      </c>
      <c r="X61" s="157">
        <v>0</v>
      </c>
      <c r="Y61" s="157">
        <v>0</v>
      </c>
      <c r="Z61" s="157">
        <v>0</v>
      </c>
      <c r="AA61" s="157">
        <v>0</v>
      </c>
      <c r="AB61" s="157">
        <v>0</v>
      </c>
      <c r="AC61" s="157">
        <v>0</v>
      </c>
      <c r="AD61" s="1">
        <v>0</v>
      </c>
      <c r="AE61" s="1">
        <v>0</v>
      </c>
      <c r="AF61" s="1">
        <v>0</v>
      </c>
      <c r="AG61" s="1">
        <v>0</v>
      </c>
      <c r="AI61" s="1">
        <v>0</v>
      </c>
      <c r="AK61" s="1">
        <v>0</v>
      </c>
    </row>
    <row r="62" spans="1:37" ht="12.75" customHeight="1">
      <c r="A62" s="30" t="s">
        <v>73</v>
      </c>
      <c r="B62" s="30"/>
      <c r="C62" s="30"/>
      <c r="D62" s="30"/>
      <c r="E62" s="30"/>
      <c r="F62" s="30"/>
      <c r="G62" s="30"/>
      <c r="H62" s="30"/>
      <c r="I62" s="30"/>
      <c r="J62" s="158">
        <v>0</v>
      </c>
      <c r="K62" s="30"/>
      <c r="L62" s="30"/>
      <c r="M62" s="30">
        <v>0</v>
      </c>
      <c r="N62" s="30"/>
      <c r="O62" s="30">
        <v>0</v>
      </c>
      <c r="P62" s="30"/>
      <c r="Q62" s="30"/>
      <c r="R62" s="40">
        <v>0</v>
      </c>
      <c r="S62" s="30">
        <v>0</v>
      </c>
      <c r="T62" s="30">
        <v>0</v>
      </c>
      <c r="U62" s="30">
        <v>0</v>
      </c>
      <c r="V62" s="30">
        <v>0</v>
      </c>
      <c r="W62" s="158">
        <v>0</v>
      </c>
      <c r="X62" s="158">
        <v>0</v>
      </c>
      <c r="Y62" s="158">
        <v>0</v>
      </c>
      <c r="Z62" s="158">
        <v>0</v>
      </c>
      <c r="AA62" s="158">
        <v>0</v>
      </c>
      <c r="AB62" s="158">
        <v>0</v>
      </c>
      <c r="AC62" s="158">
        <v>0</v>
      </c>
      <c r="AD62" s="1">
        <v>0</v>
      </c>
      <c r="AE62" s="1">
        <v>0</v>
      </c>
      <c r="AF62" s="1">
        <v>0</v>
      </c>
      <c r="AG62" s="1">
        <v>0</v>
      </c>
      <c r="AI62" s="1">
        <v>0</v>
      </c>
      <c r="AK62" s="1">
        <v>0</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v>0</v>
      </c>
      <c r="AB63" s="159">
        <v>0</v>
      </c>
      <c r="AC63" s="159">
        <v>0</v>
      </c>
      <c r="AD63" s="159">
        <v>0</v>
      </c>
      <c r="AE63" s="159">
        <v>0</v>
      </c>
      <c r="AF63" s="159">
        <v>0</v>
      </c>
      <c r="AG63" s="159">
        <v>0</v>
      </c>
      <c r="AH63" s="159"/>
      <c r="AI63" s="159"/>
      <c r="AJ63" s="159"/>
      <c r="AK63" s="159"/>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8"/>
  </sheetPr>
  <dimension ref="A1:HB92"/>
  <sheetViews>
    <sheetView zoomScaleNormal="100" workbookViewId="0">
      <pane xSplit="1" ySplit="3" topLeftCell="AB4" activePane="bottomRight" state="frozen"/>
      <selection pane="topRight" activeCell="O44" sqref="O44"/>
      <selection pane="bottomLeft" activeCell="O44" sqref="O44"/>
      <selection pane="bottomRight" activeCell="AK4" sqref="AK4"/>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8">
      <c r="A1" s="39" t="s">
        <v>92</v>
      </c>
      <c r="B1" s="11"/>
      <c r="C1" s="11"/>
      <c r="D1" s="11"/>
      <c r="E1" s="11"/>
      <c r="F1" s="11"/>
      <c r="G1" s="11"/>
      <c r="H1" s="11"/>
      <c r="I1" s="11"/>
      <c r="J1" s="11"/>
      <c r="K1" s="11"/>
      <c r="L1" s="11"/>
      <c r="AL1" s="1">
        <v>1000</v>
      </c>
    </row>
    <row r="2" spans="1:38">
      <c r="A2" s="1" t="s">
        <v>154</v>
      </c>
      <c r="B2" s="11"/>
      <c r="C2" s="11"/>
      <c r="D2" s="11"/>
      <c r="E2" s="11"/>
      <c r="F2" s="11"/>
      <c r="G2" s="11"/>
      <c r="H2" s="11"/>
      <c r="I2" s="11"/>
      <c r="J2" s="11"/>
      <c r="K2" s="11"/>
      <c r="L2" s="11"/>
    </row>
    <row r="3" spans="1:38">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134">
        <v>2012</v>
      </c>
      <c r="AE3" s="134">
        <v>2013</v>
      </c>
      <c r="AF3" s="32">
        <v>2014</v>
      </c>
      <c r="AG3" s="32">
        <v>2015</v>
      </c>
      <c r="AH3" s="32">
        <v>2016</v>
      </c>
      <c r="AI3" s="32">
        <v>2017</v>
      </c>
      <c r="AJ3" s="131">
        <v>2018</v>
      </c>
      <c r="AK3" s="131">
        <v>2019</v>
      </c>
    </row>
    <row r="4" spans="1:38" ht="12.75" customHeight="1">
      <c r="A4" s="53" t="s">
        <v>19</v>
      </c>
      <c r="B4" s="1">
        <v>898324</v>
      </c>
      <c r="C4" s="1">
        <v>992222</v>
      </c>
      <c r="D4" s="1">
        <v>1117216</v>
      </c>
      <c r="I4" s="1">
        <v>1704829.773</v>
      </c>
      <c r="J4" s="59">
        <f>+J5+J23+J38+J52+J63</f>
        <v>2068856.58</v>
      </c>
      <c r="K4" s="42">
        <v>2442939.13</v>
      </c>
      <c r="L4" s="42">
        <v>2651255.0619999999</v>
      </c>
      <c r="M4" s="59">
        <f>+M5+M23+M38+M52+M63</f>
        <v>2659359.392</v>
      </c>
      <c r="N4" s="42">
        <v>2848305.4029999999</v>
      </c>
      <c r="O4" s="59">
        <f>+O5+O23+O38+O52+O63</f>
        <v>1157457.70952</v>
      </c>
      <c r="R4" s="59">
        <f t="shared" ref="R4:AA4" si="0">+R5+R23+R38+R52+R63</f>
        <v>3411293.8030000003</v>
      </c>
      <c r="S4" s="59">
        <f t="shared" si="0"/>
        <v>3818988.4030000004</v>
      </c>
      <c r="T4" s="59">
        <f t="shared" si="0"/>
        <v>4512717.8310000002</v>
      </c>
      <c r="U4" s="59">
        <f t="shared" si="0"/>
        <v>5127696.9479999999</v>
      </c>
      <c r="V4" s="59">
        <f t="shared" si="0"/>
        <v>5515588.0360000003</v>
      </c>
      <c r="W4" s="59">
        <f t="shared" si="0"/>
        <v>5936569.7419999996</v>
      </c>
      <c r="X4" s="59">
        <f t="shared" si="0"/>
        <v>5894667.5269999988</v>
      </c>
      <c r="Y4" s="59">
        <f t="shared" si="0"/>
        <v>6011850.1610000003</v>
      </c>
      <c r="Z4" s="59">
        <f t="shared" si="0"/>
        <v>6884936.3039999995</v>
      </c>
      <c r="AA4" s="59">
        <f t="shared" si="0"/>
        <v>8533506.6970000006</v>
      </c>
      <c r="AB4" s="59">
        <f t="shared" ref="AB4:AC4" si="1">+AB5+AB23+AB38+AB52+AB63</f>
        <v>13470924.762</v>
      </c>
      <c r="AC4" s="59">
        <f t="shared" si="1"/>
        <v>15977864</v>
      </c>
      <c r="AD4" s="59">
        <f t="shared" ref="AD4:AE4" si="2">+AD5+AD23+AD38+AD52+AD63</f>
        <v>15213054.206</v>
      </c>
      <c r="AE4" s="59">
        <f t="shared" si="2"/>
        <v>14481746.776999999</v>
      </c>
      <c r="AF4" s="59">
        <f t="shared" ref="AF4" si="3">+AF5+AF23+AF38+AF52+AF63</f>
        <v>12147026.231999999</v>
      </c>
      <c r="AG4" s="59">
        <f t="shared" ref="AG4:AI4" si="4">+AG5+AG23+AG38+AG52+AG63</f>
        <v>11680360.425999999</v>
      </c>
      <c r="AH4" s="59">
        <f t="shared" si="4"/>
        <v>12335608.412</v>
      </c>
      <c r="AI4" s="59">
        <f t="shared" si="4"/>
        <v>11299359.982000001</v>
      </c>
      <c r="AJ4" s="59">
        <f t="shared" ref="AJ4:AK4" si="5">+AJ5+AJ23+AJ38+AJ52+AJ63</f>
        <v>0</v>
      </c>
      <c r="AK4" s="59">
        <f t="shared" si="5"/>
        <v>11384683.273999998</v>
      </c>
    </row>
    <row r="5" spans="1:38" ht="12.75" customHeight="1">
      <c r="A5" s="1" t="s">
        <v>20</v>
      </c>
      <c r="B5" s="58">
        <f>SUM(B7:B22)</f>
        <v>282887</v>
      </c>
      <c r="C5" s="58">
        <f t="shared" ref="C5:AA5" si="6">SUM(C7:C22)</f>
        <v>311891</v>
      </c>
      <c r="D5" s="58">
        <f t="shared" si="6"/>
        <v>359305</v>
      </c>
      <c r="E5" s="58">
        <f t="shared" si="6"/>
        <v>0</v>
      </c>
      <c r="F5" s="58">
        <f t="shared" si="6"/>
        <v>0</v>
      </c>
      <c r="G5" s="58">
        <f t="shared" si="6"/>
        <v>0</v>
      </c>
      <c r="H5" s="58">
        <f t="shared" si="6"/>
        <v>0</v>
      </c>
      <c r="I5" s="58">
        <f t="shared" si="6"/>
        <v>596363.00300000003</v>
      </c>
      <c r="J5" s="58">
        <f t="shared" si="6"/>
        <v>739050.73</v>
      </c>
      <c r="K5" s="58">
        <f t="shared" si="6"/>
        <v>889230.35100000014</v>
      </c>
      <c r="L5" s="58">
        <f t="shared" si="6"/>
        <v>975010.00800000003</v>
      </c>
      <c r="M5" s="58">
        <f t="shared" si="6"/>
        <v>1017738.9809999999</v>
      </c>
      <c r="N5" s="58">
        <f t="shared" si="6"/>
        <v>1042147.9620000002</v>
      </c>
      <c r="O5" s="58">
        <f t="shared" si="6"/>
        <v>443580.71166999999</v>
      </c>
      <c r="P5" s="58">
        <f t="shared" si="6"/>
        <v>0</v>
      </c>
      <c r="Q5" s="58">
        <f t="shared" si="6"/>
        <v>0</v>
      </c>
      <c r="R5" s="58">
        <f t="shared" si="6"/>
        <v>1456393.669</v>
      </c>
      <c r="S5" s="58">
        <f t="shared" si="6"/>
        <v>1623847.3140000002</v>
      </c>
      <c r="T5" s="58">
        <f t="shared" si="6"/>
        <v>1889603.0390000001</v>
      </c>
      <c r="U5" s="58">
        <f t="shared" si="6"/>
        <v>2096672.5499999998</v>
      </c>
      <c r="V5" s="58">
        <f t="shared" si="6"/>
        <v>2262596.608</v>
      </c>
      <c r="W5" s="58">
        <f t="shared" si="6"/>
        <v>2380632.0120000001</v>
      </c>
      <c r="X5" s="58">
        <f t="shared" si="6"/>
        <v>2357671.1759999995</v>
      </c>
      <c r="Y5" s="58">
        <f t="shared" si="6"/>
        <v>2463090.5869999998</v>
      </c>
      <c r="Z5" s="58">
        <f t="shared" si="6"/>
        <v>2785088.304</v>
      </c>
      <c r="AA5" s="58">
        <f t="shared" si="6"/>
        <v>3302060.0989999999</v>
      </c>
      <c r="AB5" s="58">
        <f t="shared" ref="AB5:AC5" si="7">SUM(AB7:AB22)</f>
        <v>5582804.9270000001</v>
      </c>
      <c r="AC5" s="58">
        <f t="shared" si="7"/>
        <v>6488814</v>
      </c>
      <c r="AD5" s="58">
        <f t="shared" ref="AD5:AE5" si="8">SUM(AD7:AD22)</f>
        <v>6172054.2070000004</v>
      </c>
      <c r="AE5" s="58">
        <f t="shared" si="8"/>
        <v>5771034.0729999999</v>
      </c>
      <c r="AF5" s="58">
        <f t="shared" ref="AF5" si="9">SUM(AF7:AF22)</f>
        <v>5241842.8919999991</v>
      </c>
      <c r="AG5" s="58">
        <f t="shared" ref="AG5:AI5" si="10">SUM(AG7:AG22)</f>
        <v>5010369.9050000003</v>
      </c>
      <c r="AH5" s="58">
        <f t="shared" si="10"/>
        <v>4926321.523000001</v>
      </c>
      <c r="AI5" s="58">
        <f t="shared" si="10"/>
        <v>4357386.4730000002</v>
      </c>
      <c r="AJ5" s="58">
        <f t="shared" ref="AJ5:AK5" si="11">SUM(AJ7:AJ22)</f>
        <v>0</v>
      </c>
      <c r="AK5" s="58">
        <f t="shared" si="11"/>
        <v>4506671.2589999996</v>
      </c>
    </row>
    <row r="6" spans="1:38" ht="12.75" customHeight="1">
      <c r="A6" s="6" t="s">
        <v>94</v>
      </c>
      <c r="J6" s="157"/>
      <c r="R6" s="20"/>
      <c r="T6" s="51"/>
    </row>
    <row r="7" spans="1:38" ht="12.75" customHeight="1">
      <c r="A7" s="1" t="s">
        <v>21</v>
      </c>
      <c r="B7" s="1">
        <v>16791</v>
      </c>
      <c r="C7" s="1">
        <v>21805</v>
      </c>
      <c r="D7" s="1">
        <v>27500</v>
      </c>
      <c r="I7" s="1">
        <v>48340.067999999999</v>
      </c>
      <c r="J7" s="157">
        <v>59880.464999999997</v>
      </c>
      <c r="K7" s="1">
        <v>68793.161999999997</v>
      </c>
      <c r="L7" s="1">
        <v>68904.409</v>
      </c>
      <c r="M7" s="1">
        <v>76516.107000000004</v>
      </c>
      <c r="N7" s="1">
        <v>78583.104000000007</v>
      </c>
      <c r="O7" s="1">
        <v>33834.970179999997</v>
      </c>
      <c r="R7" s="27">
        <v>106099.236</v>
      </c>
      <c r="S7" s="1">
        <v>123210.048</v>
      </c>
      <c r="T7" s="51">
        <v>140089.43799999999</v>
      </c>
      <c r="U7" s="1">
        <v>158092.51699999999</v>
      </c>
      <c r="V7" s="1">
        <v>172331.01300000001</v>
      </c>
      <c r="W7" s="157">
        <v>166381.489</v>
      </c>
      <c r="X7" s="157">
        <v>166804.177</v>
      </c>
      <c r="Y7" s="157">
        <v>164708.511</v>
      </c>
      <c r="Z7" s="157">
        <v>183009.49799999999</v>
      </c>
      <c r="AA7" s="157">
        <v>219026.77600000001</v>
      </c>
      <c r="AB7" s="157">
        <v>357178.05800000002</v>
      </c>
      <c r="AC7" s="157">
        <v>373942</v>
      </c>
      <c r="AD7" s="1">
        <v>305097.63500000001</v>
      </c>
      <c r="AE7" s="1">
        <v>275364.20400000003</v>
      </c>
      <c r="AF7" s="1">
        <v>251967.459</v>
      </c>
      <c r="AG7" s="1">
        <v>231566.29199999999</v>
      </c>
      <c r="AH7" s="1">
        <v>223962.14499999999</v>
      </c>
      <c r="AI7" s="1">
        <v>202176.56099999999</v>
      </c>
      <c r="AK7" s="1">
        <v>214459.96599999999</v>
      </c>
    </row>
    <row r="8" spans="1:38" ht="12.75" customHeight="1">
      <c r="A8" s="1" t="s">
        <v>22</v>
      </c>
      <c r="B8" s="1">
        <v>5271</v>
      </c>
      <c r="C8" s="1">
        <v>5506</v>
      </c>
      <c r="D8" s="1">
        <v>5394</v>
      </c>
      <c r="I8" s="1">
        <v>10203.766</v>
      </c>
      <c r="J8" s="157">
        <v>13352.663</v>
      </c>
      <c r="K8" s="1">
        <v>14474.331</v>
      </c>
      <c r="L8" s="1">
        <v>15145.637000000001</v>
      </c>
      <c r="M8" s="1">
        <v>16868.38</v>
      </c>
      <c r="N8" s="1">
        <v>22613.844000000001</v>
      </c>
      <c r="O8" s="1">
        <v>8908.66</v>
      </c>
      <c r="R8" s="27">
        <v>35504.879000000001</v>
      </c>
      <c r="S8" s="1">
        <v>40184.910000000003</v>
      </c>
      <c r="T8" s="51">
        <v>57615.167000000001</v>
      </c>
      <c r="U8" s="1">
        <v>68808.544999999998</v>
      </c>
      <c r="V8" s="1">
        <v>78584.574999999997</v>
      </c>
      <c r="W8" s="157">
        <v>78603.885999999999</v>
      </c>
      <c r="X8" s="157">
        <v>80825.356</v>
      </c>
      <c r="Y8" s="157">
        <v>96024.524000000005</v>
      </c>
      <c r="Z8" s="157">
        <v>116039.49099999999</v>
      </c>
      <c r="AA8" s="157">
        <v>117844.424</v>
      </c>
      <c r="AB8" s="157">
        <v>176416.421</v>
      </c>
      <c r="AC8" s="157">
        <v>205146</v>
      </c>
      <c r="AD8" s="1">
        <v>196926.84</v>
      </c>
      <c r="AE8" s="1">
        <v>182588.508</v>
      </c>
      <c r="AF8" s="1">
        <v>160320.321</v>
      </c>
      <c r="AG8" s="1">
        <v>151320.52299999999</v>
      </c>
      <c r="AH8" s="1">
        <v>135380.204</v>
      </c>
      <c r="AI8" s="1">
        <v>126716.137</v>
      </c>
      <c r="AK8" s="1">
        <v>122532.545</v>
      </c>
    </row>
    <row r="9" spans="1:38" ht="12.75" customHeight="1">
      <c r="A9" s="1" t="s">
        <v>23</v>
      </c>
      <c r="D9" s="1">
        <v>3423</v>
      </c>
      <c r="I9" s="1">
        <v>3659.9070000000002</v>
      </c>
      <c r="J9" s="157">
        <v>5895.75</v>
      </c>
      <c r="M9" s="1">
        <v>5952.424</v>
      </c>
      <c r="N9" s="1">
        <v>5300.7910000000002</v>
      </c>
      <c r="O9" s="1">
        <v>4214.9110000000001</v>
      </c>
      <c r="R9" s="27">
        <v>6977.5879999999997</v>
      </c>
      <c r="S9" s="38">
        <v>8741.5560000000005</v>
      </c>
      <c r="T9" s="52">
        <v>9242.1689999999999</v>
      </c>
      <c r="U9" s="38">
        <v>10606.538</v>
      </c>
      <c r="V9" s="38">
        <v>11036.425999999999</v>
      </c>
      <c r="W9" s="157">
        <v>11240.156999999999</v>
      </c>
      <c r="X9" s="157">
        <v>10277.687</v>
      </c>
      <c r="Y9" s="157">
        <v>11090.058000000001</v>
      </c>
      <c r="Z9" s="157">
        <v>11784.25</v>
      </c>
      <c r="AA9" s="157">
        <v>14924.436</v>
      </c>
      <c r="AB9" s="157">
        <v>21720.352999999999</v>
      </c>
      <c r="AC9" s="157">
        <v>30484</v>
      </c>
      <c r="AD9" s="1">
        <v>33681.336000000003</v>
      </c>
      <c r="AE9" s="1">
        <v>28612.805</v>
      </c>
      <c r="AF9" s="1">
        <v>29118.895</v>
      </c>
      <c r="AG9" s="1">
        <v>27225.987000000001</v>
      </c>
      <c r="AH9" s="1">
        <v>25868.332999999999</v>
      </c>
      <c r="AI9" s="1">
        <v>24815.563999999998</v>
      </c>
      <c r="AK9" s="1">
        <v>25693.876</v>
      </c>
    </row>
    <row r="10" spans="1:38" ht="12.75" customHeight="1">
      <c r="A10" s="1" t="s">
        <v>24</v>
      </c>
      <c r="B10" s="1">
        <v>44390</v>
      </c>
      <c r="C10" s="1">
        <v>47530</v>
      </c>
      <c r="D10" s="1">
        <v>52213</v>
      </c>
      <c r="I10" s="1">
        <v>92050.104000000007</v>
      </c>
      <c r="J10" s="157">
        <v>127022.227</v>
      </c>
      <c r="K10" s="1">
        <v>154364.12700000001</v>
      </c>
      <c r="L10" s="1">
        <v>159841.44</v>
      </c>
      <c r="M10" s="1">
        <v>174862.89</v>
      </c>
      <c r="N10" s="1">
        <v>175818.823</v>
      </c>
      <c r="O10" s="1">
        <v>89985.085000000006</v>
      </c>
      <c r="R10" s="27">
        <v>271329.73499999999</v>
      </c>
      <c r="S10" s="1">
        <v>325838.489</v>
      </c>
      <c r="T10" s="51">
        <v>283064.25900000002</v>
      </c>
      <c r="U10" s="1">
        <v>211357.81200000001</v>
      </c>
      <c r="V10" s="1">
        <v>215989.34899999999</v>
      </c>
      <c r="W10" s="157">
        <v>210440.51500000001</v>
      </c>
      <c r="X10" s="157">
        <v>211518.739</v>
      </c>
      <c r="Y10" s="157">
        <v>317525.80599999998</v>
      </c>
      <c r="Z10" s="157">
        <v>378990.59299999999</v>
      </c>
      <c r="AA10" s="157">
        <v>550781.48100000003</v>
      </c>
      <c r="AB10" s="157">
        <v>875659.34499999997</v>
      </c>
      <c r="AC10" s="157">
        <v>1100001</v>
      </c>
      <c r="AD10" s="1">
        <v>1094036.32</v>
      </c>
      <c r="AE10" s="1">
        <v>1025158.459</v>
      </c>
      <c r="AF10" s="1">
        <v>1018765.755</v>
      </c>
      <c r="AG10" s="1">
        <v>1001276.964</v>
      </c>
      <c r="AH10" s="1">
        <v>938349.45900000003</v>
      </c>
      <c r="AI10" s="1">
        <v>851274.40899999999</v>
      </c>
      <c r="AK10" s="1">
        <v>928265.11899999995</v>
      </c>
    </row>
    <row r="11" spans="1:38" ht="12.75" customHeight="1">
      <c r="A11" s="1" t="s">
        <v>25</v>
      </c>
      <c r="B11" s="1">
        <v>8535</v>
      </c>
      <c r="C11" s="1">
        <v>8751</v>
      </c>
      <c r="D11" s="1">
        <v>8812</v>
      </c>
      <c r="I11" s="1">
        <v>22182.195</v>
      </c>
      <c r="J11" s="157">
        <v>36066.877</v>
      </c>
      <c r="K11" s="1">
        <v>44758.57</v>
      </c>
      <c r="L11" s="1">
        <v>51152.381000000001</v>
      </c>
      <c r="M11" s="1">
        <v>51359.248</v>
      </c>
      <c r="N11" s="1">
        <v>41312.703999999998</v>
      </c>
      <c r="O11" s="1">
        <v>14074.785019999999</v>
      </c>
      <c r="R11" s="27">
        <v>71513.919999999998</v>
      </c>
      <c r="S11" s="1">
        <v>78884.789999999994</v>
      </c>
      <c r="T11" s="51">
        <v>144201.89799999999</v>
      </c>
      <c r="U11" s="1">
        <v>154966.42499999999</v>
      </c>
      <c r="V11" s="1">
        <v>171458.18700000001</v>
      </c>
      <c r="W11" s="157">
        <v>171408.66099999999</v>
      </c>
      <c r="X11" s="157">
        <v>169798.38399999999</v>
      </c>
      <c r="Y11" s="157">
        <v>169497.09299999999</v>
      </c>
      <c r="Z11" s="157">
        <v>190123.57</v>
      </c>
      <c r="AA11" s="157">
        <v>122126.712</v>
      </c>
      <c r="AB11" s="157">
        <v>466789.29200000002</v>
      </c>
      <c r="AC11" s="157">
        <v>528278</v>
      </c>
      <c r="AD11" s="1">
        <v>550086.10199999996</v>
      </c>
      <c r="AE11" s="1">
        <v>440174.41600000003</v>
      </c>
      <c r="AF11" s="1">
        <v>168462.41399999999</v>
      </c>
      <c r="AG11" s="1">
        <v>163744.06</v>
      </c>
      <c r="AH11" s="1">
        <v>364953.94300000003</v>
      </c>
      <c r="AI11" s="1">
        <v>121790.238</v>
      </c>
      <c r="AK11" s="1">
        <v>103707.768</v>
      </c>
    </row>
    <row r="12" spans="1:38" ht="12.75" customHeight="1">
      <c r="A12" s="1" t="s">
        <v>26</v>
      </c>
      <c r="B12" s="1">
        <v>6990</v>
      </c>
      <c r="C12" s="1">
        <v>7760</v>
      </c>
      <c r="D12" s="1">
        <v>8029</v>
      </c>
      <c r="I12" s="1">
        <v>17345.361000000001</v>
      </c>
      <c r="J12" s="157">
        <v>23126.214</v>
      </c>
      <c r="K12" s="1">
        <v>26962.016</v>
      </c>
      <c r="L12" s="1">
        <v>29998.574000000001</v>
      </c>
      <c r="M12" s="1">
        <v>28793.755000000001</v>
      </c>
      <c r="N12" s="1">
        <v>27701.592000000001</v>
      </c>
      <c r="O12" s="1">
        <v>6100.3040000000001</v>
      </c>
      <c r="R12" s="20">
        <v>59661.792999999998</v>
      </c>
      <c r="S12" s="1">
        <v>47810.957000000002</v>
      </c>
      <c r="T12" s="51">
        <v>6817.6729999999998</v>
      </c>
      <c r="U12" s="1">
        <v>7722.5990000000002</v>
      </c>
      <c r="V12" s="1">
        <v>8487.8040000000001</v>
      </c>
      <c r="W12" s="157">
        <v>99007.577999999994</v>
      </c>
      <c r="X12" s="157">
        <v>105158.745</v>
      </c>
      <c r="Y12" s="157">
        <v>106731.867</v>
      </c>
      <c r="Z12" s="157">
        <v>121708.406</v>
      </c>
      <c r="AA12" s="157">
        <v>130275.21</v>
      </c>
      <c r="AB12" s="157">
        <v>213952.47899999999</v>
      </c>
      <c r="AC12" s="157">
        <v>253256</v>
      </c>
      <c r="AD12" s="1">
        <v>242453.51199999999</v>
      </c>
      <c r="AE12" s="1">
        <v>235093.516</v>
      </c>
      <c r="AF12" s="1">
        <v>200480.04399999999</v>
      </c>
      <c r="AG12" s="1">
        <v>190581.98</v>
      </c>
      <c r="AH12" s="1">
        <v>189381.00599999999</v>
      </c>
      <c r="AI12" s="1">
        <v>160697.65900000001</v>
      </c>
      <c r="AK12" s="1">
        <v>166788.89000000001</v>
      </c>
    </row>
    <row r="13" spans="1:38" ht="12.75" customHeight="1">
      <c r="A13" s="1" t="s">
        <v>27</v>
      </c>
      <c r="B13" s="1">
        <v>4142</v>
      </c>
      <c r="C13" s="1">
        <v>4843</v>
      </c>
      <c r="D13" s="1">
        <v>5558</v>
      </c>
      <c r="I13" s="1">
        <v>12173.244000000001</v>
      </c>
      <c r="J13" s="157">
        <v>15810.272000000001</v>
      </c>
      <c r="K13" s="1">
        <v>17595.804</v>
      </c>
      <c r="L13" s="1">
        <v>19627.314999999999</v>
      </c>
      <c r="M13" s="1">
        <v>22133.912</v>
      </c>
      <c r="N13" s="1">
        <v>26797.166000000001</v>
      </c>
      <c r="O13" s="1">
        <v>9690.5023800000017</v>
      </c>
      <c r="R13" s="20">
        <v>41465.877</v>
      </c>
      <c r="S13" s="1">
        <v>49947.035000000003</v>
      </c>
      <c r="T13" s="51">
        <v>63117.987000000001</v>
      </c>
      <c r="U13" s="1">
        <v>91763.506999999998</v>
      </c>
      <c r="V13" s="1">
        <v>99660.361999999994</v>
      </c>
      <c r="W13" s="157">
        <v>92363.133000000002</v>
      </c>
      <c r="X13" s="157">
        <v>93038.543999999994</v>
      </c>
      <c r="Y13" s="157">
        <v>97889.471000000005</v>
      </c>
      <c r="Z13" s="157">
        <v>118478.87699999999</v>
      </c>
      <c r="AA13" s="157">
        <v>73801.122000000003</v>
      </c>
      <c r="AB13" s="157">
        <v>187774.77499999999</v>
      </c>
      <c r="AC13" s="157">
        <v>212111</v>
      </c>
      <c r="AD13" s="1">
        <v>197321.11</v>
      </c>
      <c r="AE13" s="1">
        <v>182627.11</v>
      </c>
      <c r="AF13" s="1">
        <v>155801.21400000001</v>
      </c>
      <c r="AG13" s="1">
        <v>164575.212</v>
      </c>
      <c r="AH13" s="1">
        <v>181540.66399999999</v>
      </c>
      <c r="AI13" s="1">
        <v>138171.37</v>
      </c>
      <c r="AK13" s="1">
        <v>164234.94399999999</v>
      </c>
    </row>
    <row r="14" spans="1:38" ht="12.75" customHeight="1">
      <c r="A14" s="1" t="s">
        <v>28</v>
      </c>
      <c r="B14" s="1">
        <v>21108</v>
      </c>
      <c r="C14" s="1">
        <v>21599</v>
      </c>
      <c r="D14" s="1">
        <v>24109</v>
      </c>
      <c r="I14" s="1">
        <v>31151.095000000001</v>
      </c>
      <c r="J14" s="157">
        <v>34036.076999999997</v>
      </c>
      <c r="K14" s="1">
        <v>45492.463000000003</v>
      </c>
      <c r="L14" s="1">
        <v>49098.815999999999</v>
      </c>
      <c r="M14" s="1">
        <v>44619.928999999996</v>
      </c>
      <c r="N14" s="1">
        <v>50406.353999999999</v>
      </c>
      <c r="O14" s="1">
        <v>19554.251</v>
      </c>
      <c r="R14" s="20">
        <v>60285.83</v>
      </c>
      <c r="S14" s="1">
        <v>64922.021999999997</v>
      </c>
      <c r="T14" s="51">
        <v>76041.19</v>
      </c>
      <c r="U14" s="1">
        <v>88964.948000000004</v>
      </c>
      <c r="V14" s="1">
        <v>94231.762000000002</v>
      </c>
      <c r="W14" s="157">
        <v>98219.372000000003</v>
      </c>
      <c r="X14" s="157">
        <v>95560.259000000005</v>
      </c>
      <c r="Y14" s="157">
        <v>95059.611000000004</v>
      </c>
      <c r="Z14" s="157">
        <v>109986.643</v>
      </c>
      <c r="AA14" s="157">
        <v>144933.99400000001</v>
      </c>
      <c r="AB14" s="157">
        <v>196421.054</v>
      </c>
      <c r="AC14" s="157">
        <v>237152</v>
      </c>
      <c r="AD14" s="1">
        <v>244764.83499999999</v>
      </c>
      <c r="AE14" s="1">
        <v>237623.74900000001</v>
      </c>
      <c r="AF14" s="1">
        <v>231932.54500000001</v>
      </c>
      <c r="AG14" s="1">
        <v>217260.68900000001</v>
      </c>
      <c r="AH14" s="1">
        <v>200921.93400000001</v>
      </c>
      <c r="AI14" s="1">
        <v>188240.79300000001</v>
      </c>
      <c r="AK14" s="1">
        <v>177104.016</v>
      </c>
    </row>
    <row r="15" spans="1:38" ht="12.75" customHeight="1">
      <c r="A15" s="1" t="s">
        <v>29</v>
      </c>
      <c r="B15" s="1">
        <v>20820</v>
      </c>
      <c r="C15" s="1">
        <v>21395</v>
      </c>
      <c r="D15" s="1">
        <v>23821</v>
      </c>
      <c r="I15" s="1">
        <v>40727.853000000003</v>
      </c>
      <c r="J15" s="157">
        <v>46397.231</v>
      </c>
      <c r="K15" s="1">
        <v>54199.222000000002</v>
      </c>
      <c r="L15" s="1">
        <v>59928.468999999997</v>
      </c>
      <c r="M15" s="1">
        <v>57740.152999999998</v>
      </c>
      <c r="N15" s="1">
        <v>59624.271000000001</v>
      </c>
      <c r="O15" s="1">
        <v>23484.609</v>
      </c>
      <c r="R15" s="20">
        <v>81390.635999999999</v>
      </c>
      <c r="S15" s="1">
        <v>84449.811000000002</v>
      </c>
      <c r="T15" s="51">
        <v>116459.091</v>
      </c>
      <c r="U15" s="1">
        <v>138722.07</v>
      </c>
      <c r="V15" s="1">
        <v>157998.478</v>
      </c>
      <c r="W15" s="157">
        <v>157820.06099999999</v>
      </c>
      <c r="X15" s="157">
        <v>166682.33900000001</v>
      </c>
      <c r="Y15" s="157">
        <v>172684.35</v>
      </c>
      <c r="Z15" s="157">
        <v>176688.85500000001</v>
      </c>
      <c r="AA15" s="157">
        <v>222379.93799999999</v>
      </c>
      <c r="AB15" s="157">
        <v>348902.71</v>
      </c>
      <c r="AC15" s="157">
        <v>411377</v>
      </c>
      <c r="AD15" s="1">
        <v>321143.37800000003</v>
      </c>
      <c r="AE15" s="1">
        <v>278999.63099999999</v>
      </c>
      <c r="AF15" s="1">
        <v>261433.16500000001</v>
      </c>
      <c r="AG15" s="1">
        <v>238053.579</v>
      </c>
      <c r="AH15" s="1">
        <v>229003.981</v>
      </c>
      <c r="AI15" s="1">
        <v>216953.75599999999</v>
      </c>
      <c r="AK15" s="1">
        <v>229823.372</v>
      </c>
    </row>
    <row r="16" spans="1:38" ht="12.75" customHeight="1">
      <c r="A16" s="1" t="s">
        <v>30</v>
      </c>
      <c r="B16" s="1">
        <v>19697</v>
      </c>
      <c r="C16" s="1">
        <v>19712</v>
      </c>
      <c r="D16" s="1">
        <v>22106</v>
      </c>
      <c r="I16" s="1">
        <v>33966.851000000002</v>
      </c>
      <c r="J16" s="157">
        <v>45194.004999999997</v>
      </c>
      <c r="K16" s="1">
        <v>54844.851000000002</v>
      </c>
      <c r="L16" s="1">
        <v>63419.326000000001</v>
      </c>
      <c r="M16" s="1">
        <v>65888.875</v>
      </c>
      <c r="N16" s="1">
        <v>64721.614999999998</v>
      </c>
      <c r="O16" s="1">
        <v>18402.839690000001</v>
      </c>
      <c r="R16" s="20">
        <v>108857.2</v>
      </c>
      <c r="S16" s="1">
        <v>120413.11500000001</v>
      </c>
      <c r="T16" s="1">
        <v>168635.01300000001</v>
      </c>
      <c r="U16" s="1">
        <v>199358.16899999999</v>
      </c>
      <c r="V16" s="1">
        <v>224575.37299999999</v>
      </c>
      <c r="W16" s="157">
        <v>236619.02</v>
      </c>
      <c r="X16" s="157">
        <v>222926.03</v>
      </c>
      <c r="Y16" s="157">
        <v>217894.62700000001</v>
      </c>
      <c r="Z16" s="157">
        <v>236550.86199999999</v>
      </c>
      <c r="AA16" s="157">
        <v>307714.00300000003</v>
      </c>
      <c r="AB16" s="157">
        <v>515522.18</v>
      </c>
      <c r="AC16" s="157">
        <v>606139</v>
      </c>
      <c r="AD16" s="1">
        <v>586194.78099999996</v>
      </c>
      <c r="AE16" s="1">
        <v>572570.91399999999</v>
      </c>
      <c r="AF16" s="1">
        <v>554628.96499999997</v>
      </c>
      <c r="AG16" s="1">
        <v>525971.54799999995</v>
      </c>
      <c r="AH16" s="1">
        <v>468332.16899999999</v>
      </c>
      <c r="AI16" s="1">
        <v>432228.64299999998</v>
      </c>
      <c r="AK16" s="1">
        <v>406143.90899999999</v>
      </c>
    </row>
    <row r="17" spans="1:37" ht="12.75" customHeight="1">
      <c r="A17" s="1" t="s">
        <v>31</v>
      </c>
      <c r="B17" s="1">
        <v>9362</v>
      </c>
      <c r="C17" s="1">
        <v>10755</v>
      </c>
      <c r="D17" s="1">
        <v>12890</v>
      </c>
      <c r="I17" s="1">
        <v>25856.292000000001</v>
      </c>
      <c r="J17" s="157">
        <v>31077.562999999998</v>
      </c>
      <c r="K17" s="1">
        <v>33254.514999999999</v>
      </c>
      <c r="L17" s="1">
        <v>35912.504999999997</v>
      </c>
      <c r="M17" s="1">
        <v>36489.364000000001</v>
      </c>
      <c r="N17" s="1">
        <v>36546.798999999999</v>
      </c>
      <c r="O17" s="1">
        <v>10743.11637</v>
      </c>
      <c r="R17" s="20">
        <v>41293.921000000002</v>
      </c>
      <c r="S17" s="1">
        <v>51143.421999999999</v>
      </c>
      <c r="T17" s="1">
        <v>65006.154999999999</v>
      </c>
      <c r="U17" s="1">
        <v>73373.032000000007</v>
      </c>
      <c r="V17" s="1">
        <v>78827.680999999997</v>
      </c>
      <c r="W17" s="157">
        <v>81012.489000000001</v>
      </c>
      <c r="X17" s="157">
        <v>80419.974000000002</v>
      </c>
      <c r="Y17" s="157">
        <v>65307.932999999997</v>
      </c>
      <c r="Z17" s="157">
        <v>74789.739000000001</v>
      </c>
      <c r="AA17" s="157">
        <v>96007.097999999998</v>
      </c>
      <c r="AB17" s="157">
        <v>144381.85500000001</v>
      </c>
      <c r="AC17" s="157">
        <v>171083</v>
      </c>
      <c r="AD17" s="1">
        <v>169835.19899999999</v>
      </c>
      <c r="AE17" s="1">
        <v>162505.77499999999</v>
      </c>
      <c r="AF17" s="1">
        <v>149071.992</v>
      </c>
      <c r="AG17" s="1">
        <v>147518.046</v>
      </c>
      <c r="AH17" s="1">
        <v>167585.51199999999</v>
      </c>
      <c r="AI17" s="1">
        <v>150254.954</v>
      </c>
      <c r="AK17" s="1">
        <v>164464.785</v>
      </c>
    </row>
    <row r="18" spans="1:37" ht="12.75" customHeight="1">
      <c r="A18" s="1" t="s">
        <v>32</v>
      </c>
      <c r="B18" s="1">
        <v>24559</v>
      </c>
      <c r="C18" s="1">
        <v>24330</v>
      </c>
      <c r="D18" s="1">
        <v>24393</v>
      </c>
      <c r="I18" s="1">
        <v>33847.216999999997</v>
      </c>
      <c r="J18" s="157">
        <v>42580.449000000001</v>
      </c>
      <c r="K18" s="1">
        <v>47608.372000000003</v>
      </c>
      <c r="L18" s="1">
        <v>48966.705000000002</v>
      </c>
      <c r="M18" s="1">
        <v>50227.182999999997</v>
      </c>
      <c r="N18" s="1">
        <v>51562.824999999997</v>
      </c>
      <c r="O18" s="1">
        <v>27593.816999999999</v>
      </c>
      <c r="R18" s="20">
        <v>70065.278000000006</v>
      </c>
      <c r="S18" s="1">
        <v>77203.801999999996</v>
      </c>
      <c r="T18" s="1">
        <v>104865.234</v>
      </c>
      <c r="U18" s="1">
        <v>130015.785</v>
      </c>
      <c r="V18" s="1">
        <v>141528.86499999999</v>
      </c>
      <c r="W18" s="157">
        <v>129926.40399999999</v>
      </c>
      <c r="X18" s="157">
        <v>123580.47900000001</v>
      </c>
      <c r="Y18" s="157">
        <v>128794.95299999999</v>
      </c>
      <c r="Z18" s="157">
        <v>148275.19200000001</v>
      </c>
      <c r="AA18" s="157">
        <v>179969.84099999999</v>
      </c>
      <c r="AB18" s="157">
        <v>291678.37199999997</v>
      </c>
      <c r="AC18" s="157">
        <v>322407</v>
      </c>
      <c r="AD18" s="1">
        <v>296779.27600000001</v>
      </c>
      <c r="AE18" s="1">
        <v>294753.33</v>
      </c>
      <c r="AF18" s="1">
        <v>288424.04300000001</v>
      </c>
      <c r="AG18" s="1">
        <v>257193.13800000001</v>
      </c>
      <c r="AH18" s="1">
        <v>221423.071</v>
      </c>
      <c r="AI18" s="1">
        <v>194983.27499999999</v>
      </c>
      <c r="AK18" s="1">
        <v>186275.486</v>
      </c>
    </row>
    <row r="19" spans="1:37" ht="12.75" customHeight="1">
      <c r="A19" s="1" t="s">
        <v>33</v>
      </c>
      <c r="B19" s="1">
        <v>29130</v>
      </c>
      <c r="C19" s="1">
        <v>41459</v>
      </c>
      <c r="D19" s="1">
        <v>49279</v>
      </c>
      <c r="I19" s="1">
        <v>52478.427000000003</v>
      </c>
      <c r="J19" s="157">
        <v>55840.163999999997</v>
      </c>
      <c r="K19" s="1">
        <v>64889.466</v>
      </c>
      <c r="L19" s="1">
        <v>66185.332999999999</v>
      </c>
      <c r="M19" s="1">
        <v>64188.510999999999</v>
      </c>
      <c r="N19" s="1">
        <v>59780.898000000001</v>
      </c>
      <c r="O19" s="1">
        <v>30520.863000000001</v>
      </c>
      <c r="R19" s="27">
        <v>82175.661999999997</v>
      </c>
      <c r="S19" s="1">
        <v>74739.981</v>
      </c>
      <c r="T19" s="1">
        <v>85209.650999999998</v>
      </c>
      <c r="U19" s="1">
        <v>93742.922999999995</v>
      </c>
      <c r="V19" s="1">
        <v>94293.740999999995</v>
      </c>
      <c r="W19" s="157">
        <v>101081.946</v>
      </c>
      <c r="X19" s="157">
        <v>92740.763999999996</v>
      </c>
      <c r="Y19" s="157">
        <v>94903.027000000002</v>
      </c>
      <c r="Z19" s="157">
        <v>98963.32</v>
      </c>
      <c r="AA19" s="157">
        <v>128009.27899999999</v>
      </c>
      <c r="AB19" s="157">
        <v>232018.45</v>
      </c>
      <c r="AC19" s="157">
        <v>236754</v>
      </c>
      <c r="AD19" s="1">
        <v>220966.58499999999</v>
      </c>
      <c r="AE19" s="1">
        <v>206442.66399999999</v>
      </c>
      <c r="AF19" s="1">
        <v>193808.80300000001</v>
      </c>
      <c r="AG19" s="1">
        <v>185581.01</v>
      </c>
      <c r="AH19" s="1">
        <v>180659.43900000001</v>
      </c>
      <c r="AI19" s="1">
        <v>163107.628</v>
      </c>
      <c r="AK19" s="1">
        <v>179147.74799999999</v>
      </c>
    </row>
    <row r="20" spans="1:37" ht="12.75" customHeight="1">
      <c r="A20" s="1" t="s">
        <v>34</v>
      </c>
      <c r="B20" s="1">
        <v>49513</v>
      </c>
      <c r="C20" s="1">
        <v>52184</v>
      </c>
      <c r="D20" s="1">
        <v>64299</v>
      </c>
      <c r="I20" s="1">
        <v>135038.976</v>
      </c>
      <c r="J20" s="157">
        <v>155387.033</v>
      </c>
      <c r="K20" s="1">
        <v>204072.66699999999</v>
      </c>
      <c r="L20" s="1">
        <v>244823.17800000001</v>
      </c>
      <c r="M20" s="1">
        <v>258742.073</v>
      </c>
      <c r="N20" s="1">
        <v>278982.32699999999</v>
      </c>
      <c r="O20" s="1">
        <v>120973.75900000001</v>
      </c>
      <c r="R20" s="20">
        <v>343317.68800000002</v>
      </c>
      <c r="S20" s="1">
        <v>390196.23100000003</v>
      </c>
      <c r="T20" s="1">
        <v>465736.64299999998</v>
      </c>
      <c r="U20" s="1">
        <v>547675.09199999995</v>
      </c>
      <c r="V20" s="1">
        <v>587136.35199999996</v>
      </c>
      <c r="W20" s="157">
        <v>615917.72400000005</v>
      </c>
      <c r="X20" s="157">
        <v>612900.45900000003</v>
      </c>
      <c r="Y20" s="157">
        <v>601788.02899999998</v>
      </c>
      <c r="Z20" s="157">
        <v>672400.46900000004</v>
      </c>
      <c r="AA20" s="157">
        <v>813128.20900000003</v>
      </c>
      <c r="AB20" s="157">
        <v>1255627.439</v>
      </c>
      <c r="AC20" s="157">
        <v>1433404</v>
      </c>
      <c r="AD20" s="1">
        <v>1340815.8670000001</v>
      </c>
      <c r="AE20" s="1">
        <v>1286263.1340000001</v>
      </c>
      <c r="AF20" s="1">
        <v>1216124.388</v>
      </c>
      <c r="AG20" s="1">
        <v>1150602.297</v>
      </c>
      <c r="AH20" s="1">
        <v>1067073.922</v>
      </c>
      <c r="AI20" s="1">
        <v>1091794.3570000001</v>
      </c>
      <c r="AK20" s="1">
        <v>1161843.04</v>
      </c>
    </row>
    <row r="21" spans="1:37" ht="12.75" customHeight="1">
      <c r="A21" s="1" t="s">
        <v>35</v>
      </c>
      <c r="B21" s="1">
        <v>20590</v>
      </c>
      <c r="C21" s="1">
        <v>22096</v>
      </c>
      <c r="D21" s="1">
        <v>24833</v>
      </c>
      <c r="I21" s="1">
        <v>33599.076999999997</v>
      </c>
      <c r="J21" s="157">
        <v>43287.457999999999</v>
      </c>
      <c r="K21" s="1">
        <v>53585.737999999998</v>
      </c>
      <c r="L21" s="1">
        <v>56470.356</v>
      </c>
      <c r="M21" s="1">
        <v>57426.667000000001</v>
      </c>
      <c r="N21" s="1">
        <v>56426.059000000001</v>
      </c>
      <c r="O21" s="1">
        <v>24227.651000000002</v>
      </c>
      <c r="R21" s="20">
        <v>70443.070999999996</v>
      </c>
      <c r="S21" s="1">
        <v>78199.043000000005</v>
      </c>
      <c r="T21" s="1">
        <v>95997.016000000003</v>
      </c>
      <c r="U21" s="1">
        <v>111831.17</v>
      </c>
      <c r="V21" s="1">
        <v>117637.652</v>
      </c>
      <c r="W21" s="157">
        <v>113094.557</v>
      </c>
      <c r="X21" s="157">
        <v>110682.076</v>
      </c>
      <c r="Y21" s="157">
        <v>103617.113</v>
      </c>
      <c r="Z21" s="157">
        <v>120280.577</v>
      </c>
      <c r="AA21" s="157">
        <v>151711.61300000001</v>
      </c>
      <c r="AB21" s="157">
        <v>243430.40900000001</v>
      </c>
      <c r="AC21" s="157">
        <v>302519</v>
      </c>
      <c r="AD21" s="1">
        <v>312244.973</v>
      </c>
      <c r="AE21" s="1">
        <v>306886.20199999999</v>
      </c>
      <c r="AF21" s="1">
        <v>310014.141</v>
      </c>
      <c r="AG21" s="1">
        <v>305943.06699999998</v>
      </c>
      <c r="AH21" s="1">
        <v>278513.15899999999</v>
      </c>
      <c r="AI21" s="1">
        <v>247489.79</v>
      </c>
      <c r="AK21" s="1">
        <v>239684.53899999999</v>
      </c>
    </row>
    <row r="22" spans="1:37" ht="12.75" customHeight="1">
      <c r="A22" s="30" t="s">
        <v>36</v>
      </c>
      <c r="B22" s="30">
        <v>1989</v>
      </c>
      <c r="C22" s="30">
        <v>2166</v>
      </c>
      <c r="D22" s="30">
        <v>2646</v>
      </c>
      <c r="E22" s="30"/>
      <c r="F22" s="30"/>
      <c r="G22" s="30"/>
      <c r="H22" s="30"/>
      <c r="I22" s="30">
        <v>3742.57</v>
      </c>
      <c r="J22" s="158">
        <v>4096.2820000000002</v>
      </c>
      <c r="K22" s="30">
        <v>4335.0469999999996</v>
      </c>
      <c r="L22" s="30">
        <v>5535.5640000000003</v>
      </c>
      <c r="M22" s="30">
        <v>5929.51</v>
      </c>
      <c r="N22" s="30">
        <v>5968.79</v>
      </c>
      <c r="O22" s="30">
        <v>1270.5880300000001</v>
      </c>
      <c r="P22" s="30"/>
      <c r="Q22" s="30"/>
      <c r="R22" s="30">
        <v>6011.3549999999996</v>
      </c>
      <c r="S22" s="30">
        <v>7962.1019999999999</v>
      </c>
      <c r="T22" s="30">
        <v>7504.4549999999999</v>
      </c>
      <c r="U22" s="30">
        <v>9671.4179999999997</v>
      </c>
      <c r="V22" s="30">
        <v>8818.9879999999994</v>
      </c>
      <c r="W22" s="158">
        <v>17495.02</v>
      </c>
      <c r="X22" s="158">
        <v>14757.164000000001</v>
      </c>
      <c r="Y22" s="158">
        <v>19573.614000000001</v>
      </c>
      <c r="Z22" s="158">
        <v>27017.962</v>
      </c>
      <c r="AA22" s="158">
        <v>29425.963</v>
      </c>
      <c r="AB22" s="158">
        <v>55331.735000000001</v>
      </c>
      <c r="AC22" s="158">
        <v>64761</v>
      </c>
      <c r="AD22" s="30">
        <v>59706.457999999999</v>
      </c>
      <c r="AE22" s="30">
        <v>55369.656000000003</v>
      </c>
      <c r="AF22" s="30">
        <v>51488.748</v>
      </c>
      <c r="AG22" s="30">
        <v>51955.512999999999</v>
      </c>
      <c r="AH22" s="30">
        <v>53372.582000000002</v>
      </c>
      <c r="AI22" s="30">
        <v>46691.339</v>
      </c>
      <c r="AJ22" s="30"/>
      <c r="AK22" s="30">
        <v>36501.256000000001</v>
      </c>
    </row>
    <row r="23" spans="1:37" ht="12.75" customHeight="1">
      <c r="A23" s="6" t="s">
        <v>37</v>
      </c>
      <c r="B23" s="58">
        <f>SUM(B25:B37)</f>
        <v>0</v>
      </c>
      <c r="C23" s="58">
        <f t="shared" ref="C23:Z23" si="12">SUM(C25:C37)</f>
        <v>0</v>
      </c>
      <c r="D23" s="58">
        <f t="shared" si="12"/>
        <v>0</v>
      </c>
      <c r="E23" s="58">
        <f t="shared" si="12"/>
        <v>0</v>
      </c>
      <c r="F23" s="58">
        <f t="shared" si="12"/>
        <v>0</v>
      </c>
      <c r="G23" s="58">
        <f t="shared" si="12"/>
        <v>0</v>
      </c>
      <c r="H23" s="58">
        <f t="shared" si="12"/>
        <v>0</v>
      </c>
      <c r="I23" s="58">
        <f t="shared" si="12"/>
        <v>0</v>
      </c>
      <c r="J23" s="58">
        <f t="shared" si="12"/>
        <v>494759.83099999995</v>
      </c>
      <c r="K23" s="58">
        <f t="shared" si="12"/>
        <v>0</v>
      </c>
      <c r="L23" s="58">
        <f t="shared" si="12"/>
        <v>0</v>
      </c>
      <c r="M23" s="58">
        <f t="shared" si="12"/>
        <v>685530.77800000005</v>
      </c>
      <c r="N23" s="58">
        <f t="shared" si="12"/>
        <v>0</v>
      </c>
      <c r="O23" s="58">
        <f t="shared" si="12"/>
        <v>347061.26502000005</v>
      </c>
      <c r="P23" s="58">
        <f t="shared" si="12"/>
        <v>0</v>
      </c>
      <c r="Q23" s="58">
        <f t="shared" si="12"/>
        <v>0</v>
      </c>
      <c r="R23" s="58">
        <f t="shared" si="12"/>
        <v>845225.07600000012</v>
      </c>
      <c r="S23" s="58">
        <f t="shared" si="12"/>
        <v>937197.16799999995</v>
      </c>
      <c r="T23" s="58">
        <f t="shared" si="12"/>
        <v>1122436.9599999997</v>
      </c>
      <c r="U23" s="58">
        <f t="shared" si="12"/>
        <v>1235909.9709999999</v>
      </c>
      <c r="V23" s="58">
        <f t="shared" si="12"/>
        <v>1305680.3420000002</v>
      </c>
      <c r="W23" s="58">
        <f t="shared" si="12"/>
        <v>1566660.443</v>
      </c>
      <c r="X23" s="58">
        <f t="shared" si="12"/>
        <v>1560079.8310000002</v>
      </c>
      <c r="Y23" s="58">
        <f t="shared" si="12"/>
        <v>1520530.111</v>
      </c>
      <c r="Z23" s="58">
        <f t="shared" si="12"/>
        <v>1804664.6040000001</v>
      </c>
      <c r="AA23" s="58">
        <f>SUM(AA25:AA37)</f>
        <v>2359636.3140000002</v>
      </c>
      <c r="AB23" s="58">
        <f>SUM(AB25:AB37)</f>
        <v>3442741.8929999992</v>
      </c>
      <c r="AC23" s="58">
        <f>SUM(AC25:AC37)</f>
        <v>4281960</v>
      </c>
      <c r="AD23" s="58">
        <f t="shared" ref="AD23:AK23" si="13">SUM(AD25:AD37)</f>
        <v>4007370.8870000001</v>
      </c>
      <c r="AE23" s="58">
        <f t="shared" si="13"/>
        <v>3821623.8769999999</v>
      </c>
      <c r="AF23" s="58">
        <f t="shared" si="13"/>
        <v>2792552.3430000003</v>
      </c>
      <c r="AG23" s="58">
        <f t="shared" si="13"/>
        <v>2738894.0219999999</v>
      </c>
      <c r="AH23" s="58">
        <f t="shared" si="13"/>
        <v>3382790.0279999995</v>
      </c>
      <c r="AI23" s="58">
        <f t="shared" si="13"/>
        <v>3211057.9879999999</v>
      </c>
      <c r="AJ23" s="58">
        <f t="shared" si="13"/>
        <v>0</v>
      </c>
      <c r="AK23" s="58">
        <f t="shared" si="13"/>
        <v>3264791.8289999999</v>
      </c>
    </row>
    <row r="24" spans="1:37" ht="12.75" customHeight="1">
      <c r="A24" s="6" t="s">
        <v>94</v>
      </c>
    </row>
    <row r="25" spans="1:37" ht="12.75" customHeight="1">
      <c r="A25" s="1" t="s">
        <v>38</v>
      </c>
      <c r="J25" s="157">
        <v>385.51600000000002</v>
      </c>
      <c r="M25" s="1">
        <v>0</v>
      </c>
      <c r="O25" s="1">
        <v>143.42099999999999</v>
      </c>
      <c r="R25" s="20">
        <v>1408.673</v>
      </c>
      <c r="S25" s="1">
        <v>9.923</v>
      </c>
      <c r="T25" s="1">
        <v>1476.838</v>
      </c>
      <c r="U25" s="1">
        <v>3384.944</v>
      </c>
      <c r="V25" s="1">
        <v>4178.3280000000004</v>
      </c>
      <c r="W25" s="157">
        <v>599.15800000000002</v>
      </c>
      <c r="X25" s="157">
        <v>2791.6019999999999</v>
      </c>
      <c r="Y25" s="157">
        <v>3338.3049999999998</v>
      </c>
      <c r="Z25" s="157">
        <v>2814.857</v>
      </c>
      <c r="AA25" s="157">
        <v>2610.8980000000001</v>
      </c>
      <c r="AB25" s="157">
        <v>2777.989</v>
      </c>
      <c r="AC25" s="157">
        <v>520</v>
      </c>
      <c r="AD25" s="1">
        <v>3877.7579999999998</v>
      </c>
      <c r="AE25" s="1">
        <v>2999.136</v>
      </c>
      <c r="AF25" s="1">
        <v>0</v>
      </c>
      <c r="AG25" s="1">
        <v>0</v>
      </c>
      <c r="AH25" s="1">
        <v>2578.1550000000002</v>
      </c>
      <c r="AI25" s="1">
        <v>2352.0590000000002</v>
      </c>
      <c r="AK25" s="1">
        <v>2914.74</v>
      </c>
    </row>
    <row r="26" spans="1:37" ht="12.75" customHeight="1">
      <c r="A26" s="1" t="s">
        <v>39</v>
      </c>
      <c r="J26" s="157">
        <v>41747.489000000001</v>
      </c>
      <c r="M26" s="1">
        <v>57800.667000000001</v>
      </c>
      <c r="O26" s="1">
        <v>26723.002840000001</v>
      </c>
      <c r="R26" s="20">
        <v>76524.206000000006</v>
      </c>
      <c r="S26" s="1">
        <v>84770.368000000002</v>
      </c>
      <c r="T26" s="1">
        <v>99206.423999999999</v>
      </c>
      <c r="U26" s="1">
        <v>76519.433999999994</v>
      </c>
      <c r="V26" s="1">
        <v>89795.023000000001</v>
      </c>
      <c r="W26" s="157">
        <v>97491.161999999997</v>
      </c>
      <c r="X26" s="157">
        <v>86980.759000000005</v>
      </c>
      <c r="Y26" s="157">
        <v>84317.001999999993</v>
      </c>
      <c r="Z26" s="157">
        <v>137280.16200000001</v>
      </c>
      <c r="AA26" s="157">
        <v>178744.35800000001</v>
      </c>
      <c r="AB26" s="157">
        <v>285978.40899999999</v>
      </c>
      <c r="AC26" s="157">
        <v>362636</v>
      </c>
      <c r="AD26" s="1">
        <v>377707.92599999998</v>
      </c>
      <c r="AE26" s="1">
        <v>350718.576</v>
      </c>
      <c r="AF26" s="1">
        <v>81180.28</v>
      </c>
      <c r="AG26" s="1">
        <v>76812.422000000006</v>
      </c>
      <c r="AH26" s="1">
        <v>294533.05099999998</v>
      </c>
      <c r="AI26" s="1">
        <v>283196.43800000002</v>
      </c>
      <c r="AK26" s="1">
        <v>272462.25400000002</v>
      </c>
    </row>
    <row r="27" spans="1:37" ht="12.75" customHeight="1">
      <c r="A27" s="1" t="s">
        <v>40</v>
      </c>
      <c r="J27" s="157">
        <v>217932.609</v>
      </c>
      <c r="M27" s="1">
        <v>345808.91100000002</v>
      </c>
      <c r="O27" s="1">
        <v>157809.93425999998</v>
      </c>
      <c r="R27" s="20">
        <v>395694.80200000003</v>
      </c>
      <c r="S27" s="1">
        <v>427173.58100000001</v>
      </c>
      <c r="T27" s="1">
        <v>505303.52399999998</v>
      </c>
      <c r="U27" s="1">
        <v>560758.24199999997</v>
      </c>
      <c r="V27" s="1">
        <v>599030.16700000002</v>
      </c>
      <c r="W27" s="157">
        <v>852597.91799999995</v>
      </c>
      <c r="X27" s="157">
        <v>860314.47400000005</v>
      </c>
      <c r="Y27" s="157">
        <v>868241.67099999997</v>
      </c>
      <c r="Z27" s="157">
        <v>1062320.898</v>
      </c>
      <c r="AA27" s="157">
        <v>1386451.807</v>
      </c>
      <c r="AB27" s="157">
        <v>1894452.8149999999</v>
      </c>
      <c r="AC27" s="157">
        <v>2341628</v>
      </c>
      <c r="AD27" s="1">
        <v>2168133.9679999999</v>
      </c>
      <c r="AE27" s="1">
        <v>2076886.939</v>
      </c>
      <c r="AF27" s="1">
        <v>1629466.081</v>
      </c>
      <c r="AG27" s="1">
        <v>1622316.996</v>
      </c>
      <c r="AH27" s="1">
        <v>1968764.3540000001</v>
      </c>
      <c r="AI27" s="1">
        <v>1879404.702</v>
      </c>
      <c r="AK27" s="1">
        <v>1965581.459</v>
      </c>
    </row>
    <row r="28" spans="1:37" ht="12.75" customHeight="1">
      <c r="A28" s="1" t="s">
        <v>41</v>
      </c>
      <c r="J28" s="157">
        <v>34632.154999999999</v>
      </c>
      <c r="M28" s="1">
        <v>41709.997000000003</v>
      </c>
      <c r="O28" s="1">
        <v>25942.577000000001</v>
      </c>
      <c r="R28" s="20">
        <v>51764.951999999997</v>
      </c>
      <c r="S28" s="1">
        <v>56536.55</v>
      </c>
      <c r="T28" s="1">
        <v>68746.721000000005</v>
      </c>
      <c r="U28" s="1">
        <v>75467.410999999993</v>
      </c>
      <c r="V28" s="1">
        <v>85444.218999999997</v>
      </c>
      <c r="W28" s="157">
        <v>87642.716</v>
      </c>
      <c r="X28" s="157">
        <v>78696.244999999995</v>
      </c>
      <c r="Y28" s="157">
        <v>73425.092000000004</v>
      </c>
      <c r="Z28" s="157">
        <v>80742.953999999998</v>
      </c>
      <c r="AA28" s="157">
        <v>101491.005</v>
      </c>
      <c r="AB28" s="157">
        <v>173361.12100000001</v>
      </c>
      <c r="AC28" s="157">
        <v>188197</v>
      </c>
      <c r="AD28" s="1">
        <v>183578.946</v>
      </c>
      <c r="AE28" s="1">
        <v>186590.40599999999</v>
      </c>
      <c r="AF28" s="1">
        <v>76352.584000000003</v>
      </c>
      <c r="AG28" s="1">
        <v>71603.851999999999</v>
      </c>
      <c r="AH28" s="1">
        <v>135777.31899999999</v>
      </c>
      <c r="AI28" s="1">
        <v>121976.371</v>
      </c>
      <c r="AK28" s="1">
        <v>118616.849</v>
      </c>
    </row>
    <row r="29" spans="1:37" ht="12.75" customHeight="1">
      <c r="A29" s="1" t="s">
        <v>42</v>
      </c>
      <c r="J29" s="157">
        <v>5462.2460000000001</v>
      </c>
      <c r="M29" s="1">
        <v>11754.977000000001</v>
      </c>
      <c r="O29" s="1">
        <v>5361.25</v>
      </c>
      <c r="R29" s="20">
        <v>17153.511999999999</v>
      </c>
      <c r="S29" s="1">
        <v>18953.285</v>
      </c>
      <c r="T29" s="1">
        <v>22057.538</v>
      </c>
      <c r="U29" s="1">
        <v>26385.257000000001</v>
      </c>
      <c r="V29" s="1">
        <v>23197.784</v>
      </c>
      <c r="W29" s="157">
        <v>21157.510999999999</v>
      </c>
      <c r="X29" s="157">
        <v>20708.483</v>
      </c>
      <c r="Y29" s="157">
        <v>20896.545999999998</v>
      </c>
      <c r="Z29" s="157">
        <v>22393.437999999998</v>
      </c>
      <c r="AA29" s="157">
        <v>38165.402000000002</v>
      </c>
      <c r="AB29" s="157">
        <v>59316.159</v>
      </c>
      <c r="AC29" s="157">
        <v>67153</v>
      </c>
      <c r="AD29" s="1">
        <v>63362.345000000001</v>
      </c>
      <c r="AE29" s="1">
        <v>66372.89</v>
      </c>
      <c r="AF29" s="1">
        <v>74064.572</v>
      </c>
      <c r="AG29" s="1">
        <v>70393.752999999997</v>
      </c>
      <c r="AH29" s="1">
        <v>64985.834999999999</v>
      </c>
      <c r="AI29" s="1">
        <v>55014.794999999998</v>
      </c>
      <c r="AK29" s="1">
        <v>56384.421000000002</v>
      </c>
    </row>
    <row r="30" spans="1:37" ht="12.75" customHeight="1">
      <c r="A30" s="1" t="s">
        <v>43</v>
      </c>
      <c r="J30" s="157">
        <v>8119.3019999999997</v>
      </c>
      <c r="M30" s="1">
        <v>6929.0249999999996</v>
      </c>
      <c r="O30" s="1">
        <v>7380.8559999999998</v>
      </c>
      <c r="R30" s="20">
        <v>11068.88</v>
      </c>
      <c r="S30" s="1">
        <v>15186.556</v>
      </c>
      <c r="T30" s="1">
        <v>18473.493999999999</v>
      </c>
      <c r="U30" s="1">
        <v>28002.241999999998</v>
      </c>
      <c r="V30" s="1">
        <v>30127.65</v>
      </c>
      <c r="W30" s="157">
        <v>31476.133000000002</v>
      </c>
      <c r="X30" s="157">
        <v>28887.756000000001</v>
      </c>
      <c r="Y30" s="157">
        <v>27589.355</v>
      </c>
      <c r="Z30" s="157">
        <v>28893.292000000001</v>
      </c>
      <c r="AA30" s="157">
        <v>34786.639999999999</v>
      </c>
      <c r="AB30" s="157">
        <v>74633.426999999996</v>
      </c>
      <c r="AC30" s="157">
        <v>100838</v>
      </c>
      <c r="AD30" s="1">
        <v>111889.56600000001</v>
      </c>
      <c r="AE30" s="1">
        <v>57228.822</v>
      </c>
      <c r="AF30" s="1">
        <v>50418.313000000002</v>
      </c>
      <c r="AG30" s="1">
        <v>56599.578999999998</v>
      </c>
      <c r="AH30" s="1">
        <v>52570.913999999997</v>
      </c>
      <c r="AI30" s="1">
        <v>47892.701999999997</v>
      </c>
      <c r="AK30" s="1">
        <v>51264.54</v>
      </c>
    </row>
    <row r="31" spans="1:37" ht="12.75" customHeight="1">
      <c r="A31" s="1" t="s">
        <v>44</v>
      </c>
      <c r="J31" s="157">
        <v>18684.670999999998</v>
      </c>
      <c r="M31" s="1">
        <v>12522.620999999999</v>
      </c>
      <c r="O31" s="1">
        <v>5821.9862400000002</v>
      </c>
      <c r="R31" s="27">
        <v>15367.414000000001</v>
      </c>
      <c r="S31" s="1">
        <v>16375.529</v>
      </c>
      <c r="T31" s="1">
        <v>26837.938999999998</v>
      </c>
      <c r="U31" s="1">
        <v>28132.813999999998</v>
      </c>
      <c r="V31" s="1">
        <v>29308.89</v>
      </c>
      <c r="W31" s="157">
        <v>41259.934999999998</v>
      </c>
      <c r="X31" s="157">
        <v>38251.822</v>
      </c>
      <c r="Y31" s="157">
        <v>35986.712</v>
      </c>
      <c r="Z31" s="157">
        <v>33880.552000000003</v>
      </c>
      <c r="AA31" s="157">
        <v>38898.591</v>
      </c>
      <c r="AB31" s="157">
        <v>46367.449000000001</v>
      </c>
      <c r="AC31" s="157">
        <v>56973</v>
      </c>
      <c r="AD31" s="1">
        <v>57051.453999999998</v>
      </c>
      <c r="AE31" s="1">
        <v>45462.34</v>
      </c>
      <c r="AF31" s="1">
        <v>42239.425000000003</v>
      </c>
      <c r="AG31" s="1">
        <v>43103.43</v>
      </c>
      <c r="AH31" s="1">
        <v>49408.784</v>
      </c>
      <c r="AI31" s="1">
        <v>45164.461000000003</v>
      </c>
      <c r="AK31" s="1">
        <v>40740.578999999998</v>
      </c>
    </row>
    <row r="32" spans="1:37" ht="12.75" customHeight="1">
      <c r="A32" s="1" t="s">
        <v>45</v>
      </c>
      <c r="J32" s="157">
        <v>6029.0219999999999</v>
      </c>
      <c r="M32" s="1">
        <v>6149.0559999999996</v>
      </c>
      <c r="O32" s="1">
        <v>2107</v>
      </c>
      <c r="R32" s="27">
        <v>11490</v>
      </c>
      <c r="S32" s="1">
        <v>12625</v>
      </c>
      <c r="T32" s="1">
        <v>18036</v>
      </c>
      <c r="U32" s="1">
        <v>20916</v>
      </c>
      <c r="V32" s="1">
        <v>6780</v>
      </c>
      <c r="W32" s="157">
        <v>7668</v>
      </c>
      <c r="X32" s="157">
        <v>7377</v>
      </c>
      <c r="Y32" s="157">
        <v>5372</v>
      </c>
      <c r="Z32" s="157">
        <v>6164</v>
      </c>
      <c r="AA32" s="157">
        <v>29633</v>
      </c>
      <c r="AB32" s="157">
        <v>64303</v>
      </c>
      <c r="AC32" s="157">
        <v>73253</v>
      </c>
      <c r="AD32" s="1">
        <v>80036</v>
      </c>
      <c r="AE32" s="1">
        <v>76442</v>
      </c>
      <c r="AF32" s="1">
        <v>78507</v>
      </c>
      <c r="AG32" s="1">
        <v>85983</v>
      </c>
      <c r="AH32" s="1">
        <v>76966</v>
      </c>
      <c r="AI32" s="1">
        <v>68342</v>
      </c>
      <c r="AK32" s="1">
        <v>68472</v>
      </c>
    </row>
    <row r="33" spans="1:37" ht="12.75" customHeight="1">
      <c r="A33" s="1" t="s">
        <v>46</v>
      </c>
      <c r="J33" s="157">
        <v>18803.821</v>
      </c>
      <c r="M33" s="1">
        <v>30016.16</v>
      </c>
      <c r="O33" s="1">
        <v>22861.326649999999</v>
      </c>
      <c r="R33" s="27">
        <v>49793.01</v>
      </c>
      <c r="S33" s="1">
        <v>57350.656000000003</v>
      </c>
      <c r="T33" s="1">
        <v>68291.331000000006</v>
      </c>
      <c r="U33" s="1">
        <v>77626.153999999995</v>
      </c>
      <c r="V33" s="1">
        <v>82096.120999999999</v>
      </c>
      <c r="W33" s="157">
        <v>82241.345000000001</v>
      </c>
      <c r="X33" s="157">
        <v>81041.661999999997</v>
      </c>
      <c r="Y33" s="157">
        <v>77613.048999999999</v>
      </c>
      <c r="Z33" s="157">
        <v>88881.732000000004</v>
      </c>
      <c r="AA33" s="157">
        <v>113089.412</v>
      </c>
      <c r="AB33" s="157">
        <v>153319.12700000001</v>
      </c>
      <c r="AC33" s="157">
        <v>184255</v>
      </c>
      <c r="AD33" s="1">
        <v>185234.18299999999</v>
      </c>
      <c r="AE33" s="1">
        <v>186094.12400000001</v>
      </c>
      <c r="AF33" s="1">
        <v>117559.44</v>
      </c>
      <c r="AG33" s="1">
        <v>108117.99099999999</v>
      </c>
      <c r="AH33" s="1">
        <v>157964.976</v>
      </c>
      <c r="AI33" s="1">
        <v>143173.443</v>
      </c>
      <c r="AK33" s="1">
        <v>142558.601</v>
      </c>
    </row>
    <row r="34" spans="1:37" ht="12.75" customHeight="1">
      <c r="A34" s="1" t="s">
        <v>47</v>
      </c>
      <c r="J34" s="157">
        <v>52045.841</v>
      </c>
      <c r="M34" s="1">
        <v>66459.206999999995</v>
      </c>
      <c r="O34" s="1">
        <v>45157.867709999999</v>
      </c>
      <c r="R34" s="20">
        <v>83704.774000000005</v>
      </c>
      <c r="S34" s="1">
        <v>100102.567</v>
      </c>
      <c r="T34" s="1">
        <v>124329.83199999999</v>
      </c>
      <c r="U34" s="1">
        <v>138757.98199999999</v>
      </c>
      <c r="V34" s="1">
        <v>142881.43100000001</v>
      </c>
      <c r="W34" s="157">
        <v>156833.28400000001</v>
      </c>
      <c r="X34" s="157">
        <v>150000.48000000001</v>
      </c>
      <c r="Y34" s="157">
        <v>147064.12299999999</v>
      </c>
      <c r="Z34" s="157">
        <v>152640.579</v>
      </c>
      <c r="AA34" s="157">
        <v>184593.43299999999</v>
      </c>
      <c r="AB34" s="157">
        <v>272249.60700000002</v>
      </c>
      <c r="AC34" s="157">
        <v>404505</v>
      </c>
      <c r="AD34" s="1">
        <v>308882.36</v>
      </c>
      <c r="AE34" s="1">
        <v>302046.56</v>
      </c>
      <c r="AF34" s="1">
        <v>273657.76699999999</v>
      </c>
      <c r="AG34" s="1">
        <v>250094.467</v>
      </c>
      <c r="AH34" s="1">
        <v>207992.86900000001</v>
      </c>
      <c r="AI34" s="1">
        <v>210404.655</v>
      </c>
      <c r="AK34" s="1">
        <v>182285.054</v>
      </c>
    </row>
    <row r="35" spans="1:37" ht="12.75" customHeight="1">
      <c r="A35" s="1" t="s">
        <v>48</v>
      </c>
      <c r="J35" s="157">
        <v>23015.473999999998</v>
      </c>
      <c r="M35" s="1">
        <v>18431.264999999999</v>
      </c>
      <c r="O35" s="1">
        <v>10877.074000000001</v>
      </c>
      <c r="R35" s="20">
        <v>16604.079000000002</v>
      </c>
      <c r="S35" s="1">
        <v>18788.48</v>
      </c>
      <c r="T35" s="1">
        <v>22250.645</v>
      </c>
      <c r="U35" s="1">
        <v>26635.794000000002</v>
      </c>
      <c r="V35" s="1">
        <v>32025.855</v>
      </c>
      <c r="W35" s="157">
        <v>34195.605000000003</v>
      </c>
      <c r="X35" s="157">
        <v>30719.935000000001</v>
      </c>
      <c r="Y35" s="157">
        <v>29053.544000000002</v>
      </c>
      <c r="Z35" s="157">
        <v>28808.817999999999</v>
      </c>
      <c r="AA35" s="157">
        <v>33534.057000000001</v>
      </c>
      <c r="AB35" s="157">
        <v>81514.558999999994</v>
      </c>
      <c r="AC35" s="157">
        <v>72445</v>
      </c>
      <c r="AD35" s="1">
        <v>57375.701999999997</v>
      </c>
      <c r="AE35" s="1">
        <v>75701.675000000003</v>
      </c>
      <c r="AF35" s="1">
        <v>71666.839000000007</v>
      </c>
      <c r="AG35" s="1">
        <v>66298.656000000003</v>
      </c>
      <c r="AH35" s="1">
        <v>42544.963000000003</v>
      </c>
      <c r="AI35" s="1">
        <v>39727.546000000002</v>
      </c>
      <c r="AK35" s="1">
        <v>39080.709000000003</v>
      </c>
    </row>
    <row r="36" spans="1:37" ht="12.75" customHeight="1">
      <c r="A36" s="1" t="s">
        <v>49</v>
      </c>
      <c r="J36" s="157">
        <v>59982.548999999999</v>
      </c>
      <c r="M36" s="1">
        <v>78240.694000000003</v>
      </c>
      <c r="O36" s="1">
        <v>33917.291320000004</v>
      </c>
      <c r="R36" s="20">
        <v>102119.49099999999</v>
      </c>
      <c r="S36" s="1">
        <v>114965.06299999999</v>
      </c>
      <c r="T36" s="1">
        <v>131162.22399999999</v>
      </c>
      <c r="U36" s="1">
        <v>156228.41</v>
      </c>
      <c r="V36" s="1">
        <v>162587.196</v>
      </c>
      <c r="W36" s="157">
        <v>135848.38</v>
      </c>
      <c r="X36" s="157">
        <v>157075.15400000001</v>
      </c>
      <c r="Y36" s="157">
        <v>129055.444</v>
      </c>
      <c r="Z36" s="157">
        <v>141794.35999999999</v>
      </c>
      <c r="AA36" s="157">
        <v>196061.95800000001</v>
      </c>
      <c r="AB36" s="157">
        <v>301457.45899999997</v>
      </c>
      <c r="AC36" s="157">
        <v>370379</v>
      </c>
      <c r="AD36" s="1">
        <v>366023.72700000001</v>
      </c>
      <c r="AE36" s="1">
        <v>360640.73</v>
      </c>
      <c r="AF36" s="1">
        <v>265101.674</v>
      </c>
      <c r="AG36" s="1">
        <v>255240.48199999999</v>
      </c>
      <c r="AH36" s="1">
        <v>298448.408</v>
      </c>
      <c r="AI36" s="1">
        <v>282834.97600000002</v>
      </c>
      <c r="AK36" s="1">
        <v>291878.71000000002</v>
      </c>
    </row>
    <row r="37" spans="1:37" ht="12.75" customHeight="1">
      <c r="A37" s="30" t="s">
        <v>50</v>
      </c>
      <c r="B37" s="30"/>
      <c r="C37" s="30"/>
      <c r="D37" s="30"/>
      <c r="E37" s="30"/>
      <c r="F37" s="30"/>
      <c r="G37" s="30"/>
      <c r="H37" s="30"/>
      <c r="I37" s="30"/>
      <c r="J37" s="158">
        <v>7919.1360000000004</v>
      </c>
      <c r="K37" s="30"/>
      <c r="L37" s="30"/>
      <c r="M37" s="30">
        <v>9708.1980000000003</v>
      </c>
      <c r="N37" s="30"/>
      <c r="O37" s="30">
        <v>2957.6779999999999</v>
      </c>
      <c r="P37" s="30"/>
      <c r="Q37" s="30"/>
      <c r="R37" s="40">
        <v>12531.282999999999</v>
      </c>
      <c r="S37" s="30">
        <v>14359.61</v>
      </c>
      <c r="T37" s="30">
        <v>16264.45</v>
      </c>
      <c r="U37" s="30">
        <v>17095.287</v>
      </c>
      <c r="V37" s="30">
        <v>18227.678</v>
      </c>
      <c r="W37" s="158">
        <v>17649.295999999998</v>
      </c>
      <c r="X37" s="158">
        <v>17234.458999999999</v>
      </c>
      <c r="Y37" s="158">
        <v>18577.268</v>
      </c>
      <c r="Z37" s="158">
        <v>18048.962</v>
      </c>
      <c r="AA37" s="158">
        <v>21575.753000000001</v>
      </c>
      <c r="AB37" s="158">
        <v>33010.771999999997</v>
      </c>
      <c r="AC37" s="158">
        <v>59178</v>
      </c>
      <c r="AD37" s="30">
        <v>44216.951999999997</v>
      </c>
      <c r="AE37" s="30">
        <v>34439.678999999996</v>
      </c>
      <c r="AF37" s="30">
        <v>32338.367999999999</v>
      </c>
      <c r="AG37" s="30">
        <v>32329.394</v>
      </c>
      <c r="AH37" s="30">
        <v>30254.400000000001</v>
      </c>
      <c r="AI37" s="30">
        <v>31573.84</v>
      </c>
      <c r="AJ37" s="30"/>
      <c r="AK37" s="30">
        <v>32551.913</v>
      </c>
    </row>
    <row r="38" spans="1:37" ht="12.75" customHeight="1">
      <c r="A38" s="6" t="s">
        <v>51</v>
      </c>
      <c r="B38" s="58">
        <f>SUM(B40:B51)</f>
        <v>0</v>
      </c>
      <c r="C38" s="58">
        <f t="shared" ref="C38:AK38" si="14">SUM(C40:C51)</f>
        <v>0</v>
      </c>
      <c r="D38" s="58">
        <f t="shared" si="14"/>
        <v>0</v>
      </c>
      <c r="E38" s="58">
        <f t="shared" si="14"/>
        <v>0</v>
      </c>
      <c r="F38" s="58">
        <f t="shared" si="14"/>
        <v>0</v>
      </c>
      <c r="G38" s="58">
        <f t="shared" si="14"/>
        <v>0</v>
      </c>
      <c r="H38" s="58">
        <f t="shared" si="14"/>
        <v>0</v>
      </c>
      <c r="I38" s="58">
        <f t="shared" si="14"/>
        <v>0</v>
      </c>
      <c r="J38" s="58">
        <f t="shared" si="14"/>
        <v>546744.09100000001</v>
      </c>
      <c r="K38" s="58">
        <f t="shared" si="14"/>
        <v>0</v>
      </c>
      <c r="L38" s="58">
        <f t="shared" si="14"/>
        <v>0</v>
      </c>
      <c r="M38" s="58">
        <f t="shared" si="14"/>
        <v>586464.71299999999</v>
      </c>
      <c r="N38" s="58">
        <f t="shared" si="14"/>
        <v>0</v>
      </c>
      <c r="O38" s="58">
        <f t="shared" si="14"/>
        <v>253797.06130999999</v>
      </c>
      <c r="P38" s="58">
        <f t="shared" si="14"/>
        <v>0</v>
      </c>
      <c r="Q38" s="58">
        <f t="shared" si="14"/>
        <v>0</v>
      </c>
      <c r="R38" s="58">
        <f t="shared" si="14"/>
        <v>690020.41300000006</v>
      </c>
      <c r="S38" s="58">
        <f t="shared" si="14"/>
        <v>781006.26</v>
      </c>
      <c r="T38" s="58">
        <f t="shared" si="14"/>
        <v>917937.22700000007</v>
      </c>
      <c r="U38" s="58">
        <f t="shared" si="14"/>
        <v>1127270.99</v>
      </c>
      <c r="V38" s="58">
        <f t="shared" si="14"/>
        <v>1227304.9580000001</v>
      </c>
      <c r="W38" s="58">
        <f t="shared" si="14"/>
        <v>1260452.4809999999</v>
      </c>
      <c r="X38" s="58">
        <f t="shared" si="14"/>
        <v>1264539.7379999999</v>
      </c>
      <c r="Y38" s="58">
        <f t="shared" si="14"/>
        <v>1311238.7280000001</v>
      </c>
      <c r="Z38" s="58">
        <f t="shared" si="14"/>
        <v>1464014.5589999999</v>
      </c>
      <c r="AA38" s="58">
        <f t="shared" si="14"/>
        <v>1853729.534</v>
      </c>
      <c r="AB38" s="58">
        <f t="shared" si="14"/>
        <v>2911577.4719999996</v>
      </c>
      <c r="AC38" s="58">
        <f t="shared" si="14"/>
        <v>3448641</v>
      </c>
      <c r="AD38" s="58">
        <f t="shared" si="14"/>
        <v>3266593.7680000002</v>
      </c>
      <c r="AE38" s="58">
        <f t="shared" si="14"/>
        <v>3104806.1540000001</v>
      </c>
      <c r="AF38" s="58">
        <f t="shared" si="14"/>
        <v>2334750.0179999997</v>
      </c>
      <c r="AG38" s="58">
        <f t="shared" si="14"/>
        <v>2186569.4480000003</v>
      </c>
      <c r="AH38" s="58">
        <f t="shared" si="14"/>
        <v>2406356.6159999999</v>
      </c>
      <c r="AI38" s="58">
        <f t="shared" si="14"/>
        <v>2223765.3260000004</v>
      </c>
      <c r="AJ38" s="58">
        <f t="shared" si="14"/>
        <v>0</v>
      </c>
      <c r="AK38" s="58">
        <f t="shared" si="14"/>
        <v>2126242.7819999997</v>
      </c>
    </row>
    <row r="39" spans="1:37" ht="12.75" customHeight="1">
      <c r="A39" s="6" t="s">
        <v>94</v>
      </c>
    </row>
    <row r="40" spans="1:37" ht="12.75" customHeight="1">
      <c r="A40" s="1" t="s">
        <v>52</v>
      </c>
      <c r="J40" s="157">
        <v>108745.629</v>
      </c>
      <c r="M40" s="1">
        <v>141478.12700000001</v>
      </c>
      <c r="O40" s="1">
        <v>64577.818450000006</v>
      </c>
      <c r="R40" s="20">
        <v>153293.44899999999</v>
      </c>
      <c r="S40" s="1">
        <v>171636.799</v>
      </c>
      <c r="T40" s="1">
        <v>211613.95300000001</v>
      </c>
      <c r="U40" s="1">
        <v>234151.06200000001</v>
      </c>
      <c r="V40" s="1">
        <v>260486.70699999999</v>
      </c>
      <c r="W40" s="157">
        <v>265396.21999999997</v>
      </c>
      <c r="X40" s="157">
        <v>265252.408</v>
      </c>
      <c r="Y40" s="157">
        <v>255786.18299999999</v>
      </c>
      <c r="Z40" s="157">
        <v>296725.79100000003</v>
      </c>
      <c r="AA40" s="157">
        <v>348634.36900000001</v>
      </c>
      <c r="AB40" s="157">
        <v>533031.55799999996</v>
      </c>
      <c r="AC40" s="157">
        <v>636363</v>
      </c>
      <c r="AD40" s="1">
        <v>601778.82700000005</v>
      </c>
      <c r="AE40" s="1">
        <v>575156.44200000004</v>
      </c>
      <c r="AF40" s="1">
        <v>320210.94400000002</v>
      </c>
      <c r="AG40" s="1">
        <v>302362.48300000001</v>
      </c>
      <c r="AH40" s="1">
        <v>458526.01199999999</v>
      </c>
      <c r="AI40" s="1">
        <v>433056.98499999999</v>
      </c>
      <c r="AK40" s="1">
        <v>422993.12</v>
      </c>
    </row>
    <row r="41" spans="1:37" ht="12.75" customHeight="1">
      <c r="A41" s="1" t="s">
        <v>53</v>
      </c>
      <c r="J41" s="157">
        <v>35561.392999999996</v>
      </c>
      <c r="M41" s="1">
        <v>32945.097999999998</v>
      </c>
      <c r="O41" s="1">
        <v>10297.362999999999</v>
      </c>
      <c r="R41" s="20">
        <v>38305.533000000003</v>
      </c>
      <c r="S41" s="1">
        <v>42185.99</v>
      </c>
      <c r="T41" s="1">
        <v>58753.322</v>
      </c>
      <c r="U41" s="1">
        <v>73004.971000000005</v>
      </c>
      <c r="V41" s="1">
        <v>64728.358999999997</v>
      </c>
      <c r="W41" s="157">
        <v>67338.735000000001</v>
      </c>
      <c r="X41" s="157">
        <v>66446.679999999993</v>
      </c>
      <c r="Y41" s="157">
        <v>61871.317000000003</v>
      </c>
      <c r="Z41" s="157">
        <v>81600.929999999993</v>
      </c>
      <c r="AA41" s="157">
        <v>109010.048</v>
      </c>
      <c r="AB41" s="157">
        <v>208969.34400000001</v>
      </c>
      <c r="AC41" s="157">
        <v>256082</v>
      </c>
      <c r="AD41" s="1">
        <v>252157.087</v>
      </c>
      <c r="AE41" s="1">
        <v>259142.704</v>
      </c>
      <c r="AF41" s="1">
        <v>227389.47</v>
      </c>
      <c r="AG41" s="1">
        <v>200151.408</v>
      </c>
      <c r="AH41" s="1">
        <v>140988.052</v>
      </c>
      <c r="AI41" s="1">
        <v>120938.74400000001</v>
      </c>
      <c r="AK41" s="1">
        <v>134817.63200000001</v>
      </c>
    </row>
    <row r="42" spans="1:37" ht="12.75" customHeight="1">
      <c r="A42" s="1" t="s">
        <v>54</v>
      </c>
      <c r="J42" s="157">
        <v>47528.247000000003</v>
      </c>
      <c r="M42" s="1">
        <v>46175.250999999997</v>
      </c>
      <c r="O42" s="1">
        <v>15260.868</v>
      </c>
      <c r="R42" s="20">
        <v>50337.093999999997</v>
      </c>
      <c r="S42" s="1">
        <v>61342.266000000003</v>
      </c>
      <c r="T42" s="1">
        <v>73494.436000000002</v>
      </c>
      <c r="U42" s="1">
        <v>115061.88400000001</v>
      </c>
      <c r="V42" s="1">
        <v>124623.735</v>
      </c>
      <c r="W42" s="157">
        <v>129230.29399999999</v>
      </c>
      <c r="X42" s="157">
        <v>124724.514</v>
      </c>
      <c r="Y42" s="157">
        <v>128130.15</v>
      </c>
      <c r="Z42" s="157">
        <v>151696.24799999999</v>
      </c>
      <c r="AA42" s="157">
        <v>177618.78700000001</v>
      </c>
      <c r="AB42" s="157">
        <v>264773.63099999999</v>
      </c>
      <c r="AC42" s="157">
        <v>270937</v>
      </c>
      <c r="AD42" s="1">
        <v>237229.96</v>
      </c>
      <c r="AE42" s="1">
        <v>213020.46799999999</v>
      </c>
      <c r="AF42" s="1">
        <v>182872.891</v>
      </c>
      <c r="AG42" s="1">
        <v>172632.389</v>
      </c>
      <c r="AH42" s="1">
        <v>168507.97700000001</v>
      </c>
      <c r="AI42" s="1">
        <v>156753.73499999999</v>
      </c>
      <c r="AK42" s="1">
        <v>140411.842</v>
      </c>
    </row>
    <row r="43" spans="1:37" ht="12.75" customHeight="1">
      <c r="A43" s="1" t="s">
        <v>55</v>
      </c>
      <c r="J43" s="157">
        <v>26934.864000000001</v>
      </c>
      <c r="M43" s="1">
        <v>33414.446000000004</v>
      </c>
      <c r="O43" s="1">
        <v>16897.011690000003</v>
      </c>
      <c r="R43" s="20">
        <v>37772.406000000003</v>
      </c>
      <c r="S43" s="1">
        <v>43488.061000000002</v>
      </c>
      <c r="T43" s="1">
        <v>50240.472999999998</v>
      </c>
      <c r="U43" s="1">
        <v>53996.667999999998</v>
      </c>
      <c r="V43" s="1">
        <v>57193.932999999997</v>
      </c>
      <c r="W43" s="157">
        <v>60160.95</v>
      </c>
      <c r="X43" s="157">
        <v>59939.885999999999</v>
      </c>
      <c r="Y43" s="157">
        <v>59341.737000000001</v>
      </c>
      <c r="Z43" s="157">
        <v>68337.633000000002</v>
      </c>
      <c r="AA43" s="157">
        <v>83355.490999999995</v>
      </c>
      <c r="AB43" s="157">
        <v>127966.27499999999</v>
      </c>
      <c r="AC43" s="157">
        <v>158994</v>
      </c>
      <c r="AD43" s="1">
        <v>151497.97200000001</v>
      </c>
      <c r="AE43" s="1">
        <v>149063.91500000001</v>
      </c>
      <c r="AF43" s="1">
        <v>97943.017000000007</v>
      </c>
      <c r="AG43" s="1">
        <v>99229.748000000007</v>
      </c>
      <c r="AH43" s="1">
        <v>118158.821</v>
      </c>
      <c r="AI43" s="1">
        <v>112116.019</v>
      </c>
      <c r="AK43" s="1">
        <v>112636.37699999999</v>
      </c>
    </row>
    <row r="44" spans="1:37" ht="12.75" customHeight="1">
      <c r="A44" s="1" t="s">
        <v>56</v>
      </c>
      <c r="J44" s="157">
        <v>89401.790999999997</v>
      </c>
      <c r="M44" s="1">
        <v>94883.778999999995</v>
      </c>
      <c r="O44" s="1">
        <v>31387.020210000002</v>
      </c>
      <c r="R44" s="20">
        <v>94176.56</v>
      </c>
      <c r="S44" s="1">
        <v>102828.897</v>
      </c>
      <c r="T44" s="1">
        <v>129016.769</v>
      </c>
      <c r="U44" s="1">
        <v>186218.34400000001</v>
      </c>
      <c r="V44" s="1">
        <v>205072.321</v>
      </c>
      <c r="W44" s="157">
        <v>220013.35399999999</v>
      </c>
      <c r="X44" s="157">
        <v>232111.84700000001</v>
      </c>
      <c r="Y44" s="157">
        <v>260311.45300000001</v>
      </c>
      <c r="Z44" s="157">
        <v>260664.38699999999</v>
      </c>
      <c r="AA44" s="157">
        <v>327611.19500000001</v>
      </c>
      <c r="AB44" s="157">
        <v>530263.44999999995</v>
      </c>
      <c r="AC44" s="157">
        <v>596290</v>
      </c>
      <c r="AD44" s="1">
        <v>557526.07200000004</v>
      </c>
      <c r="AE44" s="1">
        <v>501447.853</v>
      </c>
      <c r="AF44" s="1">
        <v>434228.20799999998</v>
      </c>
      <c r="AG44" s="1">
        <v>401106.12400000001</v>
      </c>
      <c r="AH44" s="1">
        <v>366222.49699999997</v>
      </c>
      <c r="AI44" s="1">
        <v>325722.86700000003</v>
      </c>
      <c r="AK44" s="1">
        <v>305914.23300000001</v>
      </c>
    </row>
    <row r="45" spans="1:37" ht="12.75" customHeight="1">
      <c r="A45" s="1" t="s">
        <v>57</v>
      </c>
      <c r="J45" s="157">
        <v>53814.387999999999</v>
      </c>
      <c r="M45" s="1">
        <v>61333.974000000002</v>
      </c>
      <c r="O45" s="1">
        <v>26405.186510000003</v>
      </c>
      <c r="R45" s="20">
        <v>69756.906000000003</v>
      </c>
      <c r="S45" s="1">
        <v>80500.721999999994</v>
      </c>
      <c r="T45" s="1">
        <v>92934.411999999997</v>
      </c>
      <c r="U45" s="1">
        <v>107347.192</v>
      </c>
      <c r="V45" s="1">
        <v>113100.37300000001</v>
      </c>
      <c r="W45" s="157">
        <v>111193.399</v>
      </c>
      <c r="X45" s="157">
        <v>107977.344</v>
      </c>
      <c r="Y45" s="157">
        <v>115783.18</v>
      </c>
      <c r="Z45" s="157">
        <v>130704.18399999999</v>
      </c>
      <c r="AA45" s="157">
        <v>151719.39499999999</v>
      </c>
      <c r="AB45" s="157">
        <v>254088.24799999999</v>
      </c>
      <c r="AC45" s="157">
        <v>296990</v>
      </c>
      <c r="AD45" s="1">
        <v>275014.00099999999</v>
      </c>
      <c r="AE45" s="1">
        <v>272029.57</v>
      </c>
      <c r="AF45" s="1">
        <v>199436.29800000001</v>
      </c>
      <c r="AG45" s="1">
        <v>193042.96400000001</v>
      </c>
      <c r="AH45" s="1">
        <v>229592.41899999999</v>
      </c>
      <c r="AI45" s="1">
        <v>213628.94899999999</v>
      </c>
      <c r="AK45" s="1">
        <v>198386.576</v>
      </c>
    </row>
    <row r="46" spans="1:37" ht="12.75" customHeight="1">
      <c r="A46" s="1" t="s">
        <v>58</v>
      </c>
      <c r="J46" s="157">
        <v>33433.639000000003</v>
      </c>
      <c r="M46" s="1">
        <v>18863.377</v>
      </c>
      <c r="O46" s="1">
        <v>18215.952000000001</v>
      </c>
      <c r="R46" s="20">
        <v>31666.221000000001</v>
      </c>
      <c r="S46" s="1">
        <v>40248.714999999997</v>
      </c>
      <c r="T46" s="1">
        <v>40686.989000000001</v>
      </c>
      <c r="U46" s="1">
        <v>45440.88</v>
      </c>
      <c r="V46" s="1">
        <v>51008.773999999998</v>
      </c>
      <c r="W46" s="157">
        <v>54154.237999999998</v>
      </c>
      <c r="X46" s="157">
        <v>56148.769</v>
      </c>
      <c r="Y46" s="157">
        <v>59571.182000000001</v>
      </c>
      <c r="Z46" s="157">
        <v>68776.362999999998</v>
      </c>
      <c r="AA46" s="157">
        <v>87302.46</v>
      </c>
      <c r="AB46" s="157">
        <v>139355.11499999999</v>
      </c>
      <c r="AC46" s="157">
        <v>251853</v>
      </c>
      <c r="AD46" s="1">
        <v>255054.29300000001</v>
      </c>
      <c r="AE46" s="1">
        <v>233996.55300000001</v>
      </c>
      <c r="AF46" s="1">
        <v>260432.06099999999</v>
      </c>
      <c r="AG46" s="1">
        <v>238385.97399999999</v>
      </c>
      <c r="AH46" s="1">
        <v>208091.91200000001</v>
      </c>
      <c r="AI46" s="1">
        <v>197278.50700000001</v>
      </c>
      <c r="AK46" s="1">
        <v>180908.861</v>
      </c>
    </row>
    <row r="47" spans="1:37" ht="12.75" customHeight="1">
      <c r="A47" s="1" t="s">
        <v>59</v>
      </c>
      <c r="J47" s="157">
        <v>12744.531999999999</v>
      </c>
      <c r="M47" s="1">
        <v>12609.706</v>
      </c>
      <c r="O47" s="1">
        <v>9970.2690000000002</v>
      </c>
      <c r="R47" s="27">
        <v>26968.14</v>
      </c>
      <c r="S47" s="1">
        <v>28305.882000000001</v>
      </c>
      <c r="T47" s="1">
        <v>32263.309000000001</v>
      </c>
      <c r="U47" s="1">
        <v>29960.296999999999</v>
      </c>
      <c r="V47" s="1">
        <v>35386.080000000002</v>
      </c>
      <c r="W47" s="157">
        <v>31200.478999999999</v>
      </c>
      <c r="X47" s="157">
        <v>31465.998</v>
      </c>
      <c r="Y47" s="157">
        <v>33618.775000000001</v>
      </c>
      <c r="Z47" s="157">
        <v>35778.856</v>
      </c>
      <c r="AA47" s="157">
        <v>45188.91</v>
      </c>
      <c r="AB47" s="157">
        <v>73111.616999999998</v>
      </c>
      <c r="AC47" s="157">
        <v>86642</v>
      </c>
      <c r="AD47" s="1">
        <v>89130.559999999998</v>
      </c>
      <c r="AE47" s="1">
        <v>79464.813999999998</v>
      </c>
      <c r="AF47" s="1">
        <v>63447.284</v>
      </c>
      <c r="AG47" s="1">
        <v>61664.27</v>
      </c>
      <c r="AH47" s="1">
        <v>61959.16</v>
      </c>
      <c r="AI47" s="1">
        <v>59696.62</v>
      </c>
      <c r="AK47" s="1">
        <v>59328.245000000003</v>
      </c>
    </row>
    <row r="48" spans="1:37" ht="12.75" customHeight="1">
      <c r="A48" s="1" t="s">
        <v>60</v>
      </c>
      <c r="J48" s="157">
        <v>14169.52</v>
      </c>
      <c r="M48" s="1">
        <v>11092.477999999999</v>
      </c>
      <c r="O48" s="1">
        <v>5481.9861799999999</v>
      </c>
      <c r="R48" s="20">
        <v>20593.184000000001</v>
      </c>
      <c r="S48" s="1">
        <v>19608.973999999998</v>
      </c>
      <c r="T48" s="1">
        <v>15429.111999999999</v>
      </c>
      <c r="U48" s="1">
        <v>19688.571</v>
      </c>
      <c r="V48" s="1">
        <v>14672.201999999999</v>
      </c>
      <c r="W48" s="157">
        <v>20789.692999999999</v>
      </c>
      <c r="X48" s="157">
        <v>19747.133000000002</v>
      </c>
      <c r="Y48" s="157">
        <v>18803.990000000002</v>
      </c>
      <c r="Z48" s="157">
        <v>16677.821</v>
      </c>
      <c r="AA48" s="157">
        <v>30908.067999999999</v>
      </c>
      <c r="AB48" s="157">
        <v>43771.796999999999</v>
      </c>
      <c r="AC48" s="157">
        <v>42167</v>
      </c>
      <c r="AD48" s="1">
        <v>42468.627999999997</v>
      </c>
      <c r="AE48" s="1">
        <v>36237.196000000004</v>
      </c>
      <c r="AF48" s="1">
        <v>43046.73</v>
      </c>
      <c r="AG48" s="1">
        <v>45472.963000000003</v>
      </c>
      <c r="AH48" s="1">
        <v>44415.21</v>
      </c>
      <c r="AI48" s="1">
        <v>40306.214999999997</v>
      </c>
      <c r="AK48" s="1">
        <v>33684.656999999999</v>
      </c>
    </row>
    <row r="49" spans="1:37" ht="12.75" customHeight="1">
      <c r="A49" s="1" t="s">
        <v>61</v>
      </c>
      <c r="J49" s="157">
        <v>65473.47</v>
      </c>
      <c r="M49" s="1">
        <v>72457.665999999997</v>
      </c>
      <c r="O49" s="1">
        <v>20247.008000000002</v>
      </c>
      <c r="R49" s="20">
        <v>92924.868000000002</v>
      </c>
      <c r="S49" s="1">
        <v>109554.97500000001</v>
      </c>
      <c r="T49" s="1">
        <v>117348.155</v>
      </c>
      <c r="U49" s="1">
        <v>146452.17499999999</v>
      </c>
      <c r="V49" s="1">
        <v>158664.55900000001</v>
      </c>
      <c r="W49" s="157">
        <v>165306.71900000001</v>
      </c>
      <c r="X49" s="157">
        <v>174145.66500000001</v>
      </c>
      <c r="Y49" s="157">
        <v>190185.057</v>
      </c>
      <c r="Z49" s="157">
        <v>212725.21299999999</v>
      </c>
      <c r="AA49" s="157">
        <v>303439.68199999997</v>
      </c>
      <c r="AB49" s="157">
        <v>493106.88799999998</v>
      </c>
      <c r="AC49" s="157">
        <v>557766</v>
      </c>
      <c r="AD49" s="1">
        <v>517765.65</v>
      </c>
      <c r="AE49" s="1">
        <v>474547.41800000001</v>
      </c>
      <c r="AF49" s="1">
        <v>389505.60600000003</v>
      </c>
      <c r="AG49" s="1">
        <v>357139.87300000002</v>
      </c>
      <c r="AH49" s="1">
        <v>338957.18300000002</v>
      </c>
      <c r="AI49" s="1">
        <v>317249.70799999998</v>
      </c>
      <c r="AK49" s="1">
        <v>316906.565</v>
      </c>
    </row>
    <row r="50" spans="1:37" ht="12.75" customHeight="1">
      <c r="A50" s="1" t="s">
        <v>62</v>
      </c>
      <c r="J50" s="157">
        <v>1188.24</v>
      </c>
      <c r="M50" s="1">
        <v>837.29899999999998</v>
      </c>
      <c r="O50" s="1">
        <v>3280.9102699999999</v>
      </c>
      <c r="R50" s="20">
        <v>6559.3590000000004</v>
      </c>
      <c r="S50" s="1">
        <v>7073.3040000000001</v>
      </c>
      <c r="T50" s="1">
        <v>5530.8829999999998</v>
      </c>
      <c r="U50" s="1">
        <v>3852.703</v>
      </c>
      <c r="V50" s="1">
        <v>8819.5570000000007</v>
      </c>
      <c r="W50" s="157">
        <v>6903.5249999999996</v>
      </c>
      <c r="X50" s="157">
        <v>3618.373</v>
      </c>
      <c r="Y50" s="157">
        <v>7960.2020000000002</v>
      </c>
      <c r="Z50" s="157">
        <v>13427.683999999999</v>
      </c>
      <c r="AA50" s="157">
        <v>42421.470999999998</v>
      </c>
      <c r="AB50" s="157">
        <v>23319.271000000001</v>
      </c>
      <c r="AC50" s="157">
        <v>22946</v>
      </c>
      <c r="AD50" s="1">
        <v>21863.14</v>
      </c>
      <c r="AE50" s="1">
        <v>47736.409</v>
      </c>
      <c r="AF50" s="1">
        <v>48762.307000000001</v>
      </c>
      <c r="AG50" s="1">
        <v>50514.423999999999</v>
      </c>
      <c r="AH50" s="1">
        <v>45961.565000000002</v>
      </c>
      <c r="AI50" s="1">
        <v>43627.048000000003</v>
      </c>
      <c r="AK50" s="1">
        <v>43535.754999999997</v>
      </c>
    </row>
    <row r="51" spans="1:37" ht="12.75" customHeight="1">
      <c r="A51" s="30" t="s">
        <v>63</v>
      </c>
      <c r="B51" s="30"/>
      <c r="C51" s="30"/>
      <c r="D51" s="30"/>
      <c r="E51" s="30"/>
      <c r="F51" s="30"/>
      <c r="G51" s="30"/>
      <c r="H51" s="30"/>
      <c r="I51" s="30"/>
      <c r="J51" s="158">
        <v>57748.377999999997</v>
      </c>
      <c r="K51" s="30"/>
      <c r="L51" s="30"/>
      <c r="M51" s="30">
        <v>60373.512000000002</v>
      </c>
      <c r="N51" s="30"/>
      <c r="O51" s="30">
        <v>31775.668000000001</v>
      </c>
      <c r="P51" s="30"/>
      <c r="Q51" s="30"/>
      <c r="R51" s="40">
        <v>67666.692999999999</v>
      </c>
      <c r="S51" s="30">
        <v>74231.675000000003</v>
      </c>
      <c r="T51" s="30">
        <v>90625.414000000004</v>
      </c>
      <c r="U51" s="30">
        <v>112096.243</v>
      </c>
      <c r="V51" s="30">
        <v>133548.35800000001</v>
      </c>
      <c r="W51" s="158">
        <v>128764.875</v>
      </c>
      <c r="X51" s="158">
        <v>122961.121</v>
      </c>
      <c r="Y51" s="158">
        <v>119875.50199999999</v>
      </c>
      <c r="Z51" s="158">
        <v>126899.44899999999</v>
      </c>
      <c r="AA51" s="158">
        <v>146519.658</v>
      </c>
      <c r="AB51" s="158">
        <v>219820.27799999999</v>
      </c>
      <c r="AC51" s="158">
        <v>271611</v>
      </c>
      <c r="AD51" s="30">
        <v>265107.57799999998</v>
      </c>
      <c r="AE51" s="30">
        <v>262962.81199999998</v>
      </c>
      <c r="AF51" s="30">
        <v>67475.202000000005</v>
      </c>
      <c r="AG51" s="30">
        <v>64866.828000000001</v>
      </c>
      <c r="AH51" s="30">
        <v>224975.80799999999</v>
      </c>
      <c r="AI51" s="30">
        <v>203389.929</v>
      </c>
      <c r="AJ51" s="30"/>
      <c r="AK51" s="30">
        <v>176718.91899999999</v>
      </c>
    </row>
    <row r="52" spans="1:37" ht="12.75" customHeight="1">
      <c r="A52" s="6" t="s">
        <v>64</v>
      </c>
      <c r="B52" s="58">
        <f>SUM(B54:B62)</f>
        <v>0</v>
      </c>
      <c r="C52" s="58">
        <f t="shared" ref="C52:AK52" si="15">SUM(C54:C62)</f>
        <v>0</v>
      </c>
      <c r="D52" s="58">
        <f t="shared" si="15"/>
        <v>0</v>
      </c>
      <c r="E52" s="58">
        <f t="shared" si="15"/>
        <v>0</v>
      </c>
      <c r="F52" s="58">
        <f t="shared" si="15"/>
        <v>0</v>
      </c>
      <c r="G52" s="58">
        <f t="shared" si="15"/>
        <v>0</v>
      </c>
      <c r="H52" s="58">
        <f t="shared" si="15"/>
        <v>0</v>
      </c>
      <c r="I52" s="58">
        <f t="shared" si="15"/>
        <v>0</v>
      </c>
      <c r="J52" s="58">
        <f t="shared" si="15"/>
        <v>288301.92800000001</v>
      </c>
      <c r="K52" s="58">
        <f t="shared" si="15"/>
        <v>0</v>
      </c>
      <c r="L52" s="58">
        <f t="shared" si="15"/>
        <v>0</v>
      </c>
      <c r="M52" s="58">
        <f t="shared" si="15"/>
        <v>369624.92000000004</v>
      </c>
      <c r="N52" s="58">
        <f t="shared" si="15"/>
        <v>0</v>
      </c>
      <c r="O52" s="58">
        <f t="shared" si="15"/>
        <v>113018.67151999999</v>
      </c>
      <c r="P52" s="58">
        <f t="shared" si="15"/>
        <v>0</v>
      </c>
      <c r="Q52" s="58">
        <f t="shared" si="15"/>
        <v>0</v>
      </c>
      <c r="R52" s="58">
        <f t="shared" si="15"/>
        <v>419654.64500000002</v>
      </c>
      <c r="S52" s="58">
        <f t="shared" si="15"/>
        <v>476937.66100000002</v>
      </c>
      <c r="T52" s="58">
        <f t="shared" si="15"/>
        <v>582740.60499999998</v>
      </c>
      <c r="U52" s="58">
        <f t="shared" si="15"/>
        <v>667843.43700000003</v>
      </c>
      <c r="V52" s="58">
        <f t="shared" si="15"/>
        <v>720006.12800000003</v>
      </c>
      <c r="W52" s="58">
        <f t="shared" si="15"/>
        <v>728824.80599999998</v>
      </c>
      <c r="X52" s="58">
        <f t="shared" si="15"/>
        <v>712376.78200000001</v>
      </c>
      <c r="Y52" s="58">
        <f t="shared" si="15"/>
        <v>716990.73499999987</v>
      </c>
      <c r="Z52" s="58">
        <f t="shared" si="15"/>
        <v>831168.83699999982</v>
      </c>
      <c r="AA52" s="58">
        <f t="shared" si="15"/>
        <v>1018080.75</v>
      </c>
      <c r="AB52" s="58">
        <f t="shared" si="15"/>
        <v>1533800.47</v>
      </c>
      <c r="AC52" s="58">
        <f t="shared" si="15"/>
        <v>1758449</v>
      </c>
      <c r="AD52" s="58">
        <f t="shared" si="15"/>
        <v>1767035.344</v>
      </c>
      <c r="AE52" s="58">
        <f t="shared" si="15"/>
        <v>1784282.673</v>
      </c>
      <c r="AF52" s="58">
        <f t="shared" si="15"/>
        <v>1777880.9790000001</v>
      </c>
      <c r="AG52" s="58">
        <f t="shared" si="15"/>
        <v>1744527.051</v>
      </c>
      <c r="AH52" s="58">
        <f t="shared" si="15"/>
        <v>1620140.2450000001</v>
      </c>
      <c r="AI52" s="58">
        <f t="shared" si="15"/>
        <v>1507150.1950000003</v>
      </c>
      <c r="AJ52" s="58">
        <f t="shared" si="15"/>
        <v>0</v>
      </c>
      <c r="AK52" s="58">
        <f t="shared" si="15"/>
        <v>1486977.4039999999</v>
      </c>
    </row>
    <row r="53" spans="1:37" ht="12.75" customHeight="1">
      <c r="A53" s="6" t="s">
        <v>94</v>
      </c>
    </row>
    <row r="54" spans="1:37" ht="12.75" customHeight="1">
      <c r="A54" s="1" t="s">
        <v>65</v>
      </c>
      <c r="J54" s="157">
        <v>10264.675999999999</v>
      </c>
      <c r="M54" s="1">
        <v>14054.753000000001</v>
      </c>
      <c r="O54" s="1">
        <v>5006.9486500000003</v>
      </c>
      <c r="R54" s="20">
        <v>16184.822</v>
      </c>
      <c r="S54" s="1">
        <v>17803.487000000001</v>
      </c>
      <c r="T54" s="1">
        <v>21433.946</v>
      </c>
      <c r="U54" s="1">
        <v>25389.010999999999</v>
      </c>
      <c r="V54" s="1">
        <v>28923.487000000001</v>
      </c>
      <c r="W54" s="157">
        <v>29133.276999999998</v>
      </c>
      <c r="X54" s="157">
        <v>30416.306</v>
      </c>
      <c r="Y54" s="157">
        <v>31055.965</v>
      </c>
      <c r="Z54" s="157">
        <v>36893.898000000001</v>
      </c>
      <c r="AA54" s="157">
        <v>46730.79</v>
      </c>
      <c r="AB54" s="157">
        <v>71256.964000000007</v>
      </c>
      <c r="AC54" s="157">
        <v>85079</v>
      </c>
      <c r="AD54" s="1">
        <v>87284.282000000007</v>
      </c>
      <c r="AE54" s="1">
        <v>91936.243000000002</v>
      </c>
      <c r="AF54" s="1">
        <v>94744.274000000005</v>
      </c>
      <c r="AG54" s="1">
        <v>97636.256999999998</v>
      </c>
      <c r="AH54" s="1">
        <v>93452.87</v>
      </c>
      <c r="AI54" s="1">
        <v>90736.887000000002</v>
      </c>
      <c r="AK54" s="1">
        <v>89085.948000000004</v>
      </c>
    </row>
    <row r="55" spans="1:37" ht="12.75" customHeight="1">
      <c r="A55" s="1" t="s">
        <v>66</v>
      </c>
      <c r="J55" s="157">
        <v>5033.4430000000002</v>
      </c>
      <c r="M55" s="1">
        <v>6197.9849999999997</v>
      </c>
      <c r="O55" s="1">
        <v>3239.703</v>
      </c>
      <c r="R55" s="20">
        <v>7820.6279999999997</v>
      </c>
      <c r="S55" s="1">
        <v>8780.66</v>
      </c>
      <c r="T55" s="1">
        <v>11276.043</v>
      </c>
      <c r="U55" s="1">
        <v>13682.234</v>
      </c>
      <c r="V55" s="1">
        <v>15419.95</v>
      </c>
      <c r="W55" s="157">
        <v>15830.97</v>
      </c>
      <c r="X55" s="157">
        <v>15527.213</v>
      </c>
      <c r="Y55" s="157">
        <v>16334.790999999999</v>
      </c>
      <c r="Z55" s="157">
        <v>18278.772000000001</v>
      </c>
      <c r="AA55" s="157">
        <v>21886.534</v>
      </c>
      <c r="AB55" s="157">
        <v>36944.514000000003</v>
      </c>
      <c r="AC55" s="157">
        <v>45114</v>
      </c>
      <c r="AD55" s="1">
        <v>44075.071000000004</v>
      </c>
      <c r="AE55" s="1">
        <v>44490.646999999997</v>
      </c>
      <c r="AF55" s="1">
        <v>44015.934000000001</v>
      </c>
      <c r="AG55" s="1">
        <v>46485.976000000002</v>
      </c>
      <c r="AH55" s="1">
        <v>40441.519999999997</v>
      </c>
      <c r="AI55" s="1">
        <v>36886.375999999997</v>
      </c>
      <c r="AK55" s="1">
        <v>38425.43</v>
      </c>
    </row>
    <row r="56" spans="1:37" ht="12.75" customHeight="1">
      <c r="A56" s="1" t="s">
        <v>67</v>
      </c>
      <c r="J56" s="157">
        <v>39644.953999999998</v>
      </c>
      <c r="M56" s="1">
        <v>51605.46</v>
      </c>
      <c r="O56" s="1">
        <v>17789.949000000001</v>
      </c>
      <c r="R56" s="20">
        <v>57727.637000000002</v>
      </c>
      <c r="S56" s="1">
        <v>58585.400999999998</v>
      </c>
      <c r="T56" s="1">
        <v>75259.856</v>
      </c>
      <c r="U56" s="1">
        <v>80962.982999999993</v>
      </c>
      <c r="V56" s="1">
        <v>84830.415999999997</v>
      </c>
      <c r="W56" s="157">
        <v>87873.442999999999</v>
      </c>
      <c r="X56" s="157">
        <v>84493.426000000007</v>
      </c>
      <c r="Y56" s="157">
        <v>81605.72</v>
      </c>
      <c r="Z56" s="157">
        <v>90898.232999999993</v>
      </c>
      <c r="AA56" s="157">
        <v>121670.48</v>
      </c>
      <c r="AB56" s="157">
        <v>202661.995</v>
      </c>
      <c r="AC56" s="157">
        <v>201282</v>
      </c>
      <c r="AD56" s="1">
        <v>213178.93</v>
      </c>
      <c r="AE56" s="1">
        <v>212919.035</v>
      </c>
      <c r="AF56" s="1">
        <v>218891.62899999999</v>
      </c>
      <c r="AG56" s="1">
        <v>210022.796</v>
      </c>
      <c r="AH56" s="1">
        <v>196140.772</v>
      </c>
      <c r="AI56" s="1">
        <v>185411.66399999999</v>
      </c>
      <c r="AK56" s="1">
        <v>171117.584</v>
      </c>
    </row>
    <row r="57" spans="1:37" ht="12.75" customHeight="1">
      <c r="A57" s="1" t="s">
        <v>68</v>
      </c>
      <c r="J57" s="157">
        <v>4076.62</v>
      </c>
      <c r="M57" s="1">
        <v>5570.6790000000001</v>
      </c>
      <c r="O57" s="1">
        <v>2525.16887</v>
      </c>
      <c r="R57" s="27">
        <v>4615.0230000000001</v>
      </c>
      <c r="S57" s="1">
        <v>5193.4520000000002</v>
      </c>
      <c r="T57" s="1">
        <v>6276.1130000000003</v>
      </c>
      <c r="U57" s="1">
        <v>7276.7809999999999</v>
      </c>
      <c r="V57" s="1">
        <v>0</v>
      </c>
      <c r="W57" s="157">
        <v>0</v>
      </c>
      <c r="X57" s="157">
        <v>0</v>
      </c>
      <c r="Y57" s="157">
        <v>8745.0640000000003</v>
      </c>
      <c r="Z57" s="157">
        <v>9583.5110000000004</v>
      </c>
      <c r="AA57" s="157">
        <v>10521.661</v>
      </c>
      <c r="AB57" s="157">
        <v>17484.102999999999</v>
      </c>
      <c r="AC57" s="157">
        <v>19561</v>
      </c>
      <c r="AD57" s="1">
        <v>19509.253000000001</v>
      </c>
      <c r="AE57" s="1">
        <v>24331.608</v>
      </c>
      <c r="AF57" s="1">
        <v>22656.01</v>
      </c>
      <c r="AG57" s="1">
        <v>25553.472000000002</v>
      </c>
      <c r="AH57" s="1">
        <v>27231.234</v>
      </c>
      <c r="AI57" s="1">
        <v>18496.965</v>
      </c>
      <c r="AK57" s="1">
        <v>16511.524000000001</v>
      </c>
    </row>
    <row r="58" spans="1:37" ht="12.75" customHeight="1">
      <c r="A58" s="1" t="s">
        <v>69</v>
      </c>
      <c r="J58" s="157">
        <v>39966.341999999997</v>
      </c>
      <c r="M58" s="1">
        <v>58491.336000000003</v>
      </c>
      <c r="O58" s="1">
        <v>18535.965</v>
      </c>
      <c r="R58" s="27">
        <v>69980.399999999994</v>
      </c>
      <c r="S58" s="1">
        <v>77255.032999999996</v>
      </c>
      <c r="T58" s="1">
        <v>97060.202000000005</v>
      </c>
      <c r="U58" s="1">
        <v>117726.683</v>
      </c>
      <c r="V58" s="1">
        <v>128064.79300000001</v>
      </c>
      <c r="W58" s="157">
        <v>136091.27299999999</v>
      </c>
      <c r="X58" s="157">
        <v>134058.32800000001</v>
      </c>
      <c r="Y58" s="157">
        <v>136919.639</v>
      </c>
      <c r="Z58" s="157">
        <v>172970.215</v>
      </c>
      <c r="AA58" s="157">
        <v>201504.30499999999</v>
      </c>
      <c r="AB58" s="157">
        <v>298458.52500000002</v>
      </c>
      <c r="AC58" s="157">
        <v>333938</v>
      </c>
      <c r="AD58" s="1">
        <v>360332.66399999999</v>
      </c>
      <c r="AE58" s="1">
        <v>344423.848</v>
      </c>
      <c r="AF58" s="1">
        <v>343926.076</v>
      </c>
      <c r="AG58" s="1">
        <v>338567.6</v>
      </c>
      <c r="AH58" s="1">
        <v>313253.16200000001</v>
      </c>
      <c r="AI58" s="1">
        <v>287117.88900000002</v>
      </c>
      <c r="AK58" s="1">
        <v>277473.739</v>
      </c>
    </row>
    <row r="59" spans="1:37" ht="12.75" customHeight="1">
      <c r="A59" s="1" t="s">
        <v>70</v>
      </c>
      <c r="J59" s="157">
        <v>129435.758</v>
      </c>
      <c r="M59" s="1">
        <v>162039.56099999999</v>
      </c>
      <c r="O59" s="1">
        <v>32557.018</v>
      </c>
      <c r="R59" s="27">
        <v>182201.45</v>
      </c>
      <c r="S59" s="1">
        <v>221437.397</v>
      </c>
      <c r="T59" s="1">
        <v>267432.35499999998</v>
      </c>
      <c r="U59" s="1">
        <v>311416.49</v>
      </c>
      <c r="V59" s="1">
        <v>340052.57500000001</v>
      </c>
      <c r="W59" s="157">
        <v>324755.91899999999</v>
      </c>
      <c r="X59" s="157">
        <v>313247.92099999997</v>
      </c>
      <c r="Y59" s="157">
        <v>309231.15999999997</v>
      </c>
      <c r="Z59" s="157">
        <v>347711.83799999999</v>
      </c>
      <c r="AA59" s="157">
        <v>426442.09399999998</v>
      </c>
      <c r="AB59" s="157">
        <v>620923.61600000004</v>
      </c>
      <c r="AC59" s="157">
        <v>719101</v>
      </c>
      <c r="AD59" s="1">
        <v>723378.29399999999</v>
      </c>
      <c r="AE59" s="1">
        <v>728293.28899999999</v>
      </c>
      <c r="AF59" s="1">
        <v>728458.54200000002</v>
      </c>
      <c r="AG59" s="1">
        <v>712685.55299999996</v>
      </c>
      <c r="AH59" s="1">
        <v>660242.91899999999</v>
      </c>
      <c r="AI59" s="1">
        <v>615351.55000000005</v>
      </c>
      <c r="AK59" s="1">
        <v>623939.59600000002</v>
      </c>
    </row>
    <row r="60" spans="1:37" ht="12.75" customHeight="1">
      <c r="A60" s="1" t="s">
        <v>71</v>
      </c>
      <c r="J60" s="157">
        <v>50450.07</v>
      </c>
      <c r="M60" s="1">
        <v>61788.220999999998</v>
      </c>
      <c r="O60" s="1">
        <v>30343.878000000001</v>
      </c>
      <c r="R60" s="20">
        <v>71544.123000000007</v>
      </c>
      <c r="S60" s="1">
        <v>76972.724000000002</v>
      </c>
      <c r="T60" s="1">
        <v>91081.286999999997</v>
      </c>
      <c r="U60" s="1">
        <v>97004.771999999997</v>
      </c>
      <c r="V60" s="1">
        <v>106944.3</v>
      </c>
      <c r="W60" s="157">
        <v>119075.689</v>
      </c>
      <c r="X60" s="157">
        <v>118639.338</v>
      </c>
      <c r="Y60" s="157">
        <v>116425.48699999999</v>
      </c>
      <c r="Z60" s="157">
        <v>135282.32800000001</v>
      </c>
      <c r="AA60" s="157">
        <v>162820.60500000001</v>
      </c>
      <c r="AB60" s="157">
        <v>255278.758</v>
      </c>
      <c r="AC60" s="157">
        <v>315201</v>
      </c>
      <c r="AD60" s="1">
        <v>277307.23100000003</v>
      </c>
      <c r="AE60" s="1">
        <v>287621.23700000002</v>
      </c>
      <c r="AF60" s="1">
        <v>274341.016</v>
      </c>
      <c r="AG60" s="1">
        <v>265630.79399999999</v>
      </c>
      <c r="AH60" s="1">
        <v>250718.16800000001</v>
      </c>
      <c r="AI60" s="1">
        <v>237559.402</v>
      </c>
      <c r="AK60" s="1">
        <v>233556.99</v>
      </c>
    </row>
    <row r="61" spans="1:37" ht="12.75" customHeight="1">
      <c r="A61" s="1" t="s">
        <v>72</v>
      </c>
      <c r="J61" s="157">
        <v>6598.8990000000003</v>
      </c>
      <c r="M61" s="1">
        <v>6671.7370000000001</v>
      </c>
      <c r="O61" s="1">
        <v>1838.86</v>
      </c>
      <c r="R61" s="20">
        <v>5593.0879999999997</v>
      </c>
      <c r="S61" s="1">
        <v>6579.6289999999999</v>
      </c>
      <c r="T61" s="1">
        <v>8229.1759999999995</v>
      </c>
      <c r="U61" s="1">
        <v>8954.9750000000004</v>
      </c>
      <c r="V61" s="1">
        <v>9828.7469999999994</v>
      </c>
      <c r="W61" s="157">
        <v>10164.322</v>
      </c>
      <c r="X61" s="157">
        <v>10325.912</v>
      </c>
      <c r="Y61" s="157">
        <v>10862.552</v>
      </c>
      <c r="Z61" s="157">
        <v>13085.298000000001</v>
      </c>
      <c r="AA61" s="157">
        <v>16179.468000000001</v>
      </c>
      <c r="AB61" s="157">
        <v>20706.005000000001</v>
      </c>
      <c r="AC61" s="157">
        <v>26211</v>
      </c>
      <c r="AD61" s="1">
        <v>29954.138999999999</v>
      </c>
      <c r="AE61" s="1">
        <v>31209.245999999999</v>
      </c>
      <c r="AF61" s="1">
        <v>33039.476000000002</v>
      </c>
      <c r="AG61" s="1">
        <v>31838.851999999999</v>
      </c>
      <c r="AH61" s="1">
        <v>29155.715</v>
      </c>
      <c r="AI61" s="1">
        <v>26670.886999999999</v>
      </c>
      <c r="AK61" s="1">
        <v>28233.534</v>
      </c>
    </row>
    <row r="62" spans="1:37" ht="12.75" customHeight="1">
      <c r="A62" s="30" t="s">
        <v>73</v>
      </c>
      <c r="B62" s="30"/>
      <c r="C62" s="30"/>
      <c r="D62" s="30"/>
      <c r="E62" s="30"/>
      <c r="F62" s="30"/>
      <c r="G62" s="30"/>
      <c r="H62" s="30"/>
      <c r="I62" s="30"/>
      <c r="J62" s="158">
        <v>2831.1660000000002</v>
      </c>
      <c r="K62" s="30"/>
      <c r="L62" s="30"/>
      <c r="M62" s="30">
        <v>3205.1880000000001</v>
      </c>
      <c r="N62" s="30"/>
      <c r="O62" s="30">
        <v>1181.181</v>
      </c>
      <c r="P62" s="30"/>
      <c r="Q62" s="30"/>
      <c r="R62" s="40">
        <v>3987.4740000000002</v>
      </c>
      <c r="S62" s="30">
        <v>4329.8779999999997</v>
      </c>
      <c r="T62" s="30">
        <v>4691.6270000000004</v>
      </c>
      <c r="U62" s="30">
        <v>5429.5079999999998</v>
      </c>
      <c r="V62" s="30">
        <v>5941.86</v>
      </c>
      <c r="W62" s="158">
        <v>5899.9129999999996</v>
      </c>
      <c r="X62" s="158">
        <v>5668.3379999999997</v>
      </c>
      <c r="Y62" s="158">
        <v>5810.357</v>
      </c>
      <c r="Z62" s="158">
        <v>6464.7439999999997</v>
      </c>
      <c r="AA62" s="158">
        <v>10324.813</v>
      </c>
      <c r="AB62" s="158">
        <v>10085.99</v>
      </c>
      <c r="AC62" s="158">
        <v>12962</v>
      </c>
      <c r="AD62" s="1">
        <v>12015.48</v>
      </c>
      <c r="AE62" s="1">
        <v>19057.52</v>
      </c>
      <c r="AF62" s="30">
        <v>17808.022000000001</v>
      </c>
      <c r="AG62" s="30">
        <v>16105.751</v>
      </c>
      <c r="AH62" s="30">
        <v>9503.8850000000002</v>
      </c>
      <c r="AI62" s="30">
        <v>8918.5750000000007</v>
      </c>
      <c r="AJ62" s="30"/>
      <c r="AK62" s="30">
        <v>8633.0589999999993</v>
      </c>
    </row>
    <row r="63" spans="1:37">
      <c r="A63" s="56" t="s">
        <v>74</v>
      </c>
      <c r="B63" s="53"/>
      <c r="C63" s="53"/>
      <c r="D63" s="53"/>
      <c r="E63" s="53"/>
      <c r="F63" s="53"/>
      <c r="G63" s="53"/>
      <c r="H63" s="53"/>
      <c r="I63" s="53"/>
      <c r="J63" s="159">
        <v>0</v>
      </c>
      <c r="K63" s="53"/>
      <c r="L63" s="53"/>
      <c r="M63" s="53">
        <v>0</v>
      </c>
      <c r="N63" s="53"/>
      <c r="O63" s="53">
        <v>0</v>
      </c>
      <c r="P63" s="53"/>
      <c r="Q63" s="53"/>
      <c r="R63" s="54"/>
      <c r="S63" s="53">
        <v>0</v>
      </c>
      <c r="T63" s="53">
        <v>0</v>
      </c>
      <c r="U63" s="53">
        <v>0</v>
      </c>
      <c r="V63" s="53">
        <v>0</v>
      </c>
      <c r="W63" s="159">
        <v>0</v>
      </c>
      <c r="X63" s="159">
        <v>0</v>
      </c>
      <c r="Y63" s="159">
        <v>0</v>
      </c>
      <c r="Z63" s="159">
        <v>0</v>
      </c>
      <c r="AA63" s="159">
        <v>0</v>
      </c>
      <c r="AB63" s="159">
        <v>0</v>
      </c>
      <c r="AC63" s="159">
        <v>0</v>
      </c>
      <c r="AD63" s="159">
        <v>0</v>
      </c>
      <c r="AE63" s="159">
        <v>0</v>
      </c>
      <c r="AF63" s="30">
        <v>0</v>
      </c>
      <c r="AG63" s="30">
        <v>0</v>
      </c>
      <c r="AH63" s="30"/>
      <c r="AI63" s="30"/>
      <c r="AJ63" s="30"/>
      <c r="AK63" s="30"/>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8"/>
  </sheetPr>
  <dimension ref="A1:HB92"/>
  <sheetViews>
    <sheetView zoomScaleNormal="100" workbookViewId="0">
      <pane xSplit="1" ySplit="3" topLeftCell="AB4" activePane="bottomRight" state="frozen"/>
      <selection pane="topRight" activeCell="O44" sqref="O44"/>
      <selection pane="bottomLeft" activeCell="O44" sqref="O44"/>
      <selection pane="bottomRight" activeCell="AJ8" sqref="AJ8"/>
    </sheetView>
  </sheetViews>
  <sheetFormatPr defaultColWidth="9.7109375" defaultRowHeight="12.75"/>
  <cols>
    <col min="1" max="1" width="19.5703125" style="1" bestFit="1" customWidth="1"/>
    <col min="2" max="22" width="13.85546875" style="1" customWidth="1"/>
    <col min="23" max="29" width="13.85546875" style="10" customWidth="1"/>
    <col min="30"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163</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1">
        <f>(219503+37121)+52166</f>
        <v>308790</v>
      </c>
      <c r="C4" s="1">
        <f>(264586+55538)+57495</f>
        <v>377619</v>
      </c>
      <c r="D4" s="1">
        <f>(325973+47217)+64111</f>
        <v>437301</v>
      </c>
      <c r="I4" s="1">
        <v>899057.18400000001</v>
      </c>
      <c r="J4" s="59">
        <f>+J5+J23+J38+J52+J63</f>
        <v>1021173.9620000001</v>
      </c>
      <c r="K4" s="42">
        <f>(818483.659+129506.657)+171327.792</f>
        <v>1119318.108</v>
      </c>
      <c r="L4" s="42">
        <f>(878025.935+115833.141)+181095.663</f>
        <v>1174954.7390000001</v>
      </c>
      <c r="M4" s="59">
        <f>+M5+M23+M38+M52+M63</f>
        <v>1198863.466</v>
      </c>
      <c r="N4" s="42">
        <f>(1360955.5+195707.802)+223131.652</f>
        <v>1779794.9539999999</v>
      </c>
      <c r="O4" s="59">
        <f>+O5+O23+O38+O52+O63</f>
        <v>1652655.1208000001</v>
      </c>
      <c r="R4" s="59">
        <f t="shared" ref="R4:AA4" si="0">+R5+R23+R38+R52+R63</f>
        <v>2037668.9709999999</v>
      </c>
      <c r="S4" s="59">
        <f t="shared" si="0"/>
        <v>3039867.66</v>
      </c>
      <c r="T4" s="59">
        <f t="shared" si="0"/>
        <v>2583129.861</v>
      </c>
      <c r="U4" s="59">
        <f t="shared" si="0"/>
        <v>2667332.4729999998</v>
      </c>
      <c r="V4" s="59">
        <f t="shared" si="0"/>
        <v>2769648.2660000003</v>
      </c>
      <c r="W4" s="59">
        <f t="shared" si="0"/>
        <v>3002729.3569999998</v>
      </c>
      <c r="X4" s="59">
        <f t="shared" si="0"/>
        <v>3138849.3089999999</v>
      </c>
      <c r="Y4" s="59">
        <f t="shared" si="0"/>
        <v>3411662.202</v>
      </c>
      <c r="Z4" s="59">
        <f t="shared" si="0"/>
        <v>3644440.8620000002</v>
      </c>
      <c r="AA4" s="59">
        <f t="shared" si="0"/>
        <v>3895743.4739999999</v>
      </c>
      <c r="AB4" s="59">
        <f t="shared" ref="AB4:AC4" si="1">+AB5+AB23+AB38+AB52+AB63</f>
        <v>3676194.3659999999</v>
      </c>
      <c r="AC4" s="59">
        <f t="shared" si="1"/>
        <v>3684798</v>
      </c>
      <c r="AD4" s="59">
        <f t="shared" ref="AD4:AE4" si="2">+AD5+AD23+AD38+AD52+AD63</f>
        <v>3730512.6970000002</v>
      </c>
      <c r="AE4" s="59">
        <f t="shared" si="2"/>
        <v>3901162.8120000004</v>
      </c>
      <c r="AF4" s="59">
        <f t="shared" ref="AF4:AG4" si="3">+AF5+AF23+AF38+AF52+AF63</f>
        <v>3396554.0919999997</v>
      </c>
      <c r="AG4" s="59">
        <f t="shared" si="3"/>
        <v>3787456.5109999999</v>
      </c>
      <c r="AH4" s="59">
        <f t="shared" ref="AH4:AI4" si="4">+AH5+AH23+AH38+AH52+AH63</f>
        <v>5225620.4619999994</v>
      </c>
      <c r="AI4" s="59">
        <f t="shared" si="4"/>
        <v>5465742.4929999998</v>
      </c>
      <c r="AJ4" s="59">
        <f t="shared" ref="AJ4:AK4" si="5">+AJ5+AJ23+AJ38+AJ52+AJ63</f>
        <v>0</v>
      </c>
      <c r="AK4" s="59">
        <f t="shared" si="5"/>
        <v>6273277.1040000021</v>
      </c>
    </row>
    <row r="5" spans="1:39" ht="12.75" customHeight="1">
      <c r="A5" s="1" t="s">
        <v>20</v>
      </c>
      <c r="B5" s="58">
        <f>SUM(B7:B22)</f>
        <v>65706</v>
      </c>
      <c r="C5" s="58">
        <f t="shared" ref="C5:AA5" si="6">SUM(C7:C22)</f>
        <v>80303</v>
      </c>
      <c r="D5" s="58">
        <f t="shared" si="6"/>
        <v>80232</v>
      </c>
      <c r="E5" s="58">
        <f t="shared" si="6"/>
        <v>0</v>
      </c>
      <c r="F5" s="58">
        <f t="shared" si="6"/>
        <v>0</v>
      </c>
      <c r="G5" s="58">
        <f t="shared" si="6"/>
        <v>0</v>
      </c>
      <c r="H5" s="58">
        <f t="shared" si="6"/>
        <v>0</v>
      </c>
      <c r="I5" s="58">
        <f t="shared" si="6"/>
        <v>174749.71200000003</v>
      </c>
      <c r="J5" s="58">
        <f t="shared" si="6"/>
        <v>210756.20400000003</v>
      </c>
      <c r="K5" s="58">
        <f t="shared" si="6"/>
        <v>196952.94899999999</v>
      </c>
      <c r="L5" s="58">
        <f t="shared" si="6"/>
        <v>223873.16000000003</v>
      </c>
      <c r="M5" s="58">
        <f t="shared" si="6"/>
        <v>244066.32</v>
      </c>
      <c r="N5" s="58">
        <f t="shared" si="6"/>
        <v>285953.02500000002</v>
      </c>
      <c r="O5" s="58">
        <f t="shared" si="6"/>
        <v>309827.72778000002</v>
      </c>
      <c r="P5" s="58">
        <f t="shared" si="6"/>
        <v>0</v>
      </c>
      <c r="Q5" s="58">
        <f t="shared" si="6"/>
        <v>0</v>
      </c>
      <c r="R5" s="58">
        <f t="shared" si="6"/>
        <v>514704.90699999989</v>
      </c>
      <c r="S5" s="58">
        <f t="shared" si="6"/>
        <v>707520.77400000009</v>
      </c>
      <c r="T5" s="58">
        <f t="shared" si="6"/>
        <v>534211.70599999989</v>
      </c>
      <c r="U5" s="58">
        <f t="shared" si="6"/>
        <v>651607.32999999996</v>
      </c>
      <c r="V5" s="58">
        <f t="shared" si="6"/>
        <v>591432.39500000014</v>
      </c>
      <c r="W5" s="58">
        <f t="shared" si="6"/>
        <v>688499.39900000009</v>
      </c>
      <c r="X5" s="58">
        <f t="shared" si="6"/>
        <v>742742.80200000003</v>
      </c>
      <c r="Y5" s="58">
        <f t="shared" si="6"/>
        <v>839567.50899999996</v>
      </c>
      <c r="Z5" s="58">
        <f t="shared" si="6"/>
        <v>904421.94299999997</v>
      </c>
      <c r="AA5" s="58">
        <f t="shared" si="6"/>
        <v>924743.35200000007</v>
      </c>
      <c r="AB5" s="58">
        <f t="shared" ref="AB5:AC5" si="7">SUM(AB7:AB22)</f>
        <v>1007363.5680000001</v>
      </c>
      <c r="AC5" s="58">
        <f t="shared" si="7"/>
        <v>1016107</v>
      </c>
      <c r="AD5" s="58">
        <f t="shared" ref="AD5:AE5" si="8">SUM(AD7:AD22)</f>
        <v>974531.71</v>
      </c>
      <c r="AE5" s="58">
        <f t="shared" si="8"/>
        <v>976192.56699999992</v>
      </c>
      <c r="AF5" s="58">
        <f t="shared" ref="AF5:AG5" si="9">SUM(AF7:AF22)</f>
        <v>974785.86199999996</v>
      </c>
      <c r="AG5" s="58">
        <f t="shared" si="9"/>
        <v>1063031.7270000002</v>
      </c>
      <c r="AH5" s="58">
        <f t="shared" ref="AH5:AI5" si="10">SUM(AH7:AH22)</f>
        <v>1087440.5160000001</v>
      </c>
      <c r="AI5" s="58">
        <f t="shared" si="10"/>
        <v>1080663.031</v>
      </c>
      <c r="AJ5" s="58">
        <f t="shared" ref="AJ5:AK5" si="11">SUM(AJ7:AJ22)</f>
        <v>0</v>
      </c>
      <c r="AK5" s="58">
        <f t="shared" si="11"/>
        <v>1212132.4300000002</v>
      </c>
    </row>
    <row r="6" spans="1:39" ht="12.75" customHeight="1">
      <c r="A6" s="6" t="s">
        <v>94</v>
      </c>
      <c r="J6" s="157"/>
      <c r="R6" s="20"/>
      <c r="T6" s="51"/>
    </row>
    <row r="7" spans="1:39" ht="12.75" customHeight="1">
      <c r="A7" s="1" t="s">
        <v>21</v>
      </c>
      <c r="B7" s="1">
        <f>(530+175)+900</f>
        <v>1605</v>
      </c>
      <c r="C7" s="1">
        <f>(3155+222)+1176</f>
        <v>4553</v>
      </c>
      <c r="D7" s="1">
        <f>(347+4561)+1224</f>
        <v>6132</v>
      </c>
      <c r="I7" s="1">
        <f>(5387.062+396.785)+1612.97</f>
        <v>7396.817</v>
      </c>
      <c r="J7" s="157">
        <v>6531.8510000000006</v>
      </c>
      <c r="K7" s="1">
        <f>(4057.507+2155.419)+1775.675</f>
        <v>7988.6009999999997</v>
      </c>
      <c r="L7" s="1">
        <f>(6741.872+2533.954)+2548.046</f>
        <v>11823.872000000001</v>
      </c>
      <c r="M7" s="1">
        <v>8929.3670000000002</v>
      </c>
      <c r="N7" s="1">
        <f>(5232.02+1765.914)+1670.486</f>
        <v>8668.42</v>
      </c>
      <c r="O7" s="1">
        <v>9267.5737699999991</v>
      </c>
      <c r="R7" s="27">
        <v>12250.83</v>
      </c>
      <c r="S7" s="1">
        <v>12768.564</v>
      </c>
      <c r="T7" s="51">
        <v>12156.154</v>
      </c>
      <c r="U7" s="1">
        <v>15279.159</v>
      </c>
      <c r="V7" s="1">
        <v>15097.32</v>
      </c>
      <c r="W7" s="157">
        <v>15364.395</v>
      </c>
      <c r="X7" s="157">
        <v>21085.294000000002</v>
      </c>
      <c r="Y7" s="157">
        <v>23101.534</v>
      </c>
      <c r="Z7" s="157">
        <v>27887.635999999999</v>
      </c>
      <c r="AA7" s="157">
        <v>26263.922999999999</v>
      </c>
      <c r="AB7" s="157">
        <v>32771.464</v>
      </c>
      <c r="AC7" s="157">
        <v>27279</v>
      </c>
      <c r="AD7" s="1">
        <v>29483.394</v>
      </c>
      <c r="AE7" s="1">
        <v>28664.894</v>
      </c>
      <c r="AF7" s="1">
        <v>26299.603999999999</v>
      </c>
      <c r="AG7" s="1">
        <v>30979.083999999999</v>
      </c>
      <c r="AH7" s="1">
        <v>36571.050999999999</v>
      </c>
      <c r="AI7" s="1">
        <v>36739.122000000003</v>
      </c>
      <c r="AK7" s="1">
        <v>42001.271000000001</v>
      </c>
    </row>
    <row r="8" spans="1:39" ht="12.75" customHeight="1">
      <c r="A8" s="1" t="s">
        <v>22</v>
      </c>
      <c r="B8" s="1">
        <f>(703+159)+69</f>
        <v>931</v>
      </c>
      <c r="C8" s="1">
        <f>(725+115)+76</f>
        <v>916</v>
      </c>
      <c r="D8" s="1">
        <f>(972+29)+302</f>
        <v>1303</v>
      </c>
      <c r="I8" s="1">
        <f>(2085.736+152.737)+634.314</f>
        <v>2872.7869999999998</v>
      </c>
      <c r="J8" s="157">
        <v>3898.1020000000003</v>
      </c>
      <c r="K8" s="1">
        <f>(5059.187+150.194)+900.856</f>
        <v>6110.2370000000001</v>
      </c>
      <c r="L8" s="1">
        <f>(8783.272+159.274)+1228.643</f>
        <v>10171.189</v>
      </c>
      <c r="M8" s="1">
        <v>6472.1559999999999</v>
      </c>
      <c r="N8" s="1">
        <f>(14360.034+25.478)+1385.693</f>
        <v>15771.204999999998</v>
      </c>
      <c r="O8" s="1">
        <v>15554.029</v>
      </c>
      <c r="R8" s="27">
        <v>13048.904999999999</v>
      </c>
      <c r="S8" s="1">
        <v>12825.741</v>
      </c>
      <c r="T8" s="51">
        <v>13597.938</v>
      </c>
      <c r="U8" s="1">
        <v>16868.737000000001</v>
      </c>
      <c r="V8" s="1">
        <v>19229.488000000001</v>
      </c>
      <c r="W8" s="157">
        <v>19282.262999999999</v>
      </c>
      <c r="X8" s="157">
        <v>23841.538</v>
      </c>
      <c r="Y8" s="157">
        <v>28924.806</v>
      </c>
      <c r="Z8" s="157">
        <v>36979.184000000001</v>
      </c>
      <c r="AA8" s="157">
        <v>29556.395</v>
      </c>
      <c r="AB8" s="157">
        <v>35097.557000000001</v>
      </c>
      <c r="AC8" s="157">
        <v>43096</v>
      </c>
      <c r="AD8" s="1">
        <v>37453.152000000002</v>
      </c>
      <c r="AE8" s="1">
        <v>38077.764000000003</v>
      </c>
      <c r="AF8" s="1">
        <v>36382.341999999997</v>
      </c>
      <c r="AG8" s="1">
        <v>36257.927000000003</v>
      </c>
      <c r="AH8" s="1">
        <v>36464.58</v>
      </c>
      <c r="AI8" s="1">
        <v>41030.502</v>
      </c>
      <c r="AK8" s="1">
        <v>44992.377</v>
      </c>
    </row>
    <row r="9" spans="1:39" ht="12.75" customHeight="1">
      <c r="A9" s="1" t="s">
        <v>23</v>
      </c>
      <c r="D9" s="1">
        <v>0</v>
      </c>
      <c r="I9" s="1">
        <v>3667.3329999999996</v>
      </c>
      <c r="J9" s="157">
        <v>15416.598</v>
      </c>
      <c r="M9" s="1">
        <v>6790.8419999999996</v>
      </c>
      <c r="N9" s="1">
        <f>(1104.825+6466.39)+0</f>
        <v>7571.2150000000001</v>
      </c>
      <c r="O9" s="1">
        <v>9703.5290000000005</v>
      </c>
      <c r="R9" s="27">
        <v>11225.102000000001</v>
      </c>
      <c r="S9" s="38">
        <v>11661.353999999999</v>
      </c>
      <c r="T9" s="52">
        <v>9914.2559999999994</v>
      </c>
      <c r="U9" s="38">
        <v>11047.424999999999</v>
      </c>
      <c r="V9" s="38">
        <v>11884.208000000001</v>
      </c>
      <c r="W9" s="157">
        <v>13426.254999999999</v>
      </c>
      <c r="X9" s="157">
        <v>13455.531999999999</v>
      </c>
      <c r="Y9" s="157">
        <v>13449.541999999999</v>
      </c>
      <c r="Z9" s="157">
        <v>15512.694</v>
      </c>
      <c r="AA9" s="157">
        <v>16013.162</v>
      </c>
      <c r="AB9" s="157">
        <v>18972.076000000001</v>
      </c>
      <c r="AC9" s="157">
        <v>15762</v>
      </c>
      <c r="AD9" s="1">
        <v>16295.652</v>
      </c>
      <c r="AE9" s="1">
        <v>15405.885</v>
      </c>
      <c r="AF9" s="1">
        <v>19228.664000000001</v>
      </c>
      <c r="AG9" s="1">
        <v>18638.698</v>
      </c>
      <c r="AH9" s="1">
        <v>20413.789000000001</v>
      </c>
      <c r="AI9" s="1">
        <v>21541.865000000002</v>
      </c>
      <c r="AK9" s="1">
        <v>15393.879000000001</v>
      </c>
    </row>
    <row r="10" spans="1:39" ht="12.75" customHeight="1">
      <c r="A10" s="1" t="s">
        <v>24</v>
      </c>
      <c r="B10" s="1">
        <f>(7667+240)+2522</f>
        <v>10429</v>
      </c>
      <c r="C10" s="1">
        <f>(9280+345)+3286</f>
        <v>12911</v>
      </c>
      <c r="D10" s="1">
        <f>(11011+613)+5156</f>
        <v>16780</v>
      </c>
      <c r="I10" s="1">
        <f>(30364.625+2566.069)+6788.47</f>
        <v>39719.164000000004</v>
      </c>
      <c r="J10" s="157">
        <v>44671.725999999995</v>
      </c>
      <c r="K10" s="1">
        <f>(23047.616+5098.823)+17432.877</f>
        <v>45579.316000000006</v>
      </c>
      <c r="L10" s="1">
        <f>(21267.993+9109.909)+15687.766</f>
        <v>46065.667999999998</v>
      </c>
      <c r="M10" s="1">
        <v>40487.347999999998</v>
      </c>
      <c r="N10" s="1">
        <f>(26270.752+1969.523)+14519.351</f>
        <v>42759.626000000004</v>
      </c>
      <c r="O10" s="1">
        <v>47128.253000000004</v>
      </c>
      <c r="R10" s="27">
        <v>77041.417000000001</v>
      </c>
      <c r="S10" s="1">
        <v>128067.492</v>
      </c>
      <c r="T10" s="51">
        <v>134869.742</v>
      </c>
      <c r="U10" s="1">
        <v>137918.78599999999</v>
      </c>
      <c r="V10" s="1">
        <v>133843.06700000001</v>
      </c>
      <c r="W10" s="157">
        <v>165253.32</v>
      </c>
      <c r="X10" s="157">
        <v>157297.27799999999</v>
      </c>
      <c r="Y10" s="157">
        <v>197526.26300000001</v>
      </c>
      <c r="Z10" s="157">
        <v>187115.905</v>
      </c>
      <c r="AA10" s="157">
        <v>220957.003</v>
      </c>
      <c r="AB10" s="157">
        <v>227221.807</v>
      </c>
      <c r="AC10" s="157">
        <v>217337</v>
      </c>
      <c r="AD10" s="1">
        <v>190462.72200000001</v>
      </c>
      <c r="AE10" s="1">
        <v>183509.405</v>
      </c>
      <c r="AF10" s="1">
        <v>205634.98</v>
      </c>
      <c r="AG10" s="1">
        <v>212204.47399999999</v>
      </c>
      <c r="AH10" s="1">
        <v>219045.55900000001</v>
      </c>
      <c r="AI10" s="1">
        <v>218783.212</v>
      </c>
      <c r="AK10" s="1">
        <v>282213.90000000002</v>
      </c>
    </row>
    <row r="11" spans="1:39" ht="12.75" customHeight="1">
      <c r="A11" s="1" t="s">
        <v>25</v>
      </c>
      <c r="B11" s="1">
        <f>(2576+105)+591</f>
        <v>3272</v>
      </c>
      <c r="C11" s="1">
        <f>(2948+335)+508</f>
        <v>3791</v>
      </c>
      <c r="D11" s="1">
        <f>(3417+284)+656</f>
        <v>4357</v>
      </c>
      <c r="I11" s="1">
        <f>(8901.994+1228.347)+2104.185</f>
        <v>12234.526</v>
      </c>
      <c r="J11" s="157">
        <v>8853.5619999999999</v>
      </c>
      <c r="K11" s="1">
        <f>(17243.508+942.05)+2593.801</f>
        <v>20779.359</v>
      </c>
      <c r="L11" s="1">
        <f>(28196.376+1491.969)+2479.084</f>
        <v>32167.429</v>
      </c>
      <c r="M11" s="1">
        <v>48381.214999999997</v>
      </c>
      <c r="N11" s="1">
        <f>(31984.222+994.906)+2662.462</f>
        <v>35641.590000000004</v>
      </c>
      <c r="O11" s="1">
        <v>40646.953490000007</v>
      </c>
      <c r="R11" s="27">
        <v>86622.535000000003</v>
      </c>
      <c r="S11" s="1">
        <v>123610.02500000001</v>
      </c>
      <c r="T11" s="51">
        <v>41022.885999999999</v>
      </c>
      <c r="U11" s="1">
        <v>34003.21</v>
      </c>
      <c r="V11" s="1">
        <v>43996.868999999999</v>
      </c>
      <c r="W11" s="157">
        <v>32004.713</v>
      </c>
      <c r="X11" s="157">
        <v>38384.154999999999</v>
      </c>
      <c r="Y11" s="157">
        <v>51121.921000000002</v>
      </c>
      <c r="Z11" s="157">
        <v>40971.495000000003</v>
      </c>
      <c r="AA11" s="157">
        <v>20925.327000000001</v>
      </c>
      <c r="AB11" s="157">
        <v>44157.161</v>
      </c>
      <c r="AC11" s="157">
        <v>55904</v>
      </c>
      <c r="AD11" s="1">
        <v>51273.186000000002</v>
      </c>
      <c r="AE11" s="1">
        <v>44381.481</v>
      </c>
      <c r="AF11" s="1">
        <v>20191.47</v>
      </c>
      <c r="AG11" s="1">
        <v>18629.802</v>
      </c>
      <c r="AH11" s="1">
        <v>48727.826999999997</v>
      </c>
      <c r="AI11" s="1">
        <v>24842.635999999999</v>
      </c>
      <c r="AK11" s="1">
        <v>30532.881000000001</v>
      </c>
    </row>
    <row r="12" spans="1:39" ht="12.75" customHeight="1">
      <c r="A12" s="1" t="s">
        <v>26</v>
      </c>
      <c r="B12" s="1">
        <f>(1148+21)+273</f>
        <v>1442</v>
      </c>
      <c r="C12" s="1">
        <f>(901+11)+349</f>
        <v>1261</v>
      </c>
      <c r="D12" s="1">
        <f>(1257+0)+994</f>
        <v>2251</v>
      </c>
      <c r="I12" s="1">
        <f>(5602.493+0)+2902</f>
        <v>8504.4930000000004</v>
      </c>
      <c r="J12" s="157">
        <v>10543.191999999999</v>
      </c>
      <c r="K12" s="1">
        <v>9196.7890000000007</v>
      </c>
      <c r="L12" s="1">
        <v>9832.7459999999992</v>
      </c>
      <c r="M12" s="1">
        <v>11322.814</v>
      </c>
      <c r="N12" s="1">
        <f>(10059.598+0)+3163.672</f>
        <v>13223.27</v>
      </c>
      <c r="O12" s="1">
        <v>15681.775</v>
      </c>
      <c r="R12" s="20">
        <v>30099.834999999999</v>
      </c>
      <c r="S12" s="1">
        <v>71828.125</v>
      </c>
      <c r="T12" s="51">
        <v>3392.8829999999998</v>
      </c>
      <c r="U12" s="1">
        <v>3522.6669999999999</v>
      </c>
      <c r="V12" s="1">
        <v>4033.884</v>
      </c>
      <c r="W12" s="157">
        <v>40849.652999999998</v>
      </c>
      <c r="X12" s="157">
        <v>60320.6</v>
      </c>
      <c r="Y12" s="157">
        <v>54753.413999999997</v>
      </c>
      <c r="Z12" s="157">
        <v>54297.353999999999</v>
      </c>
      <c r="AA12" s="157">
        <v>45203.677000000003</v>
      </c>
      <c r="AB12" s="157">
        <v>51307.188000000002</v>
      </c>
      <c r="AC12" s="157">
        <v>49722</v>
      </c>
      <c r="AD12" s="1">
        <v>49530.993999999999</v>
      </c>
      <c r="AE12" s="1">
        <v>46557.837</v>
      </c>
      <c r="AF12" s="1">
        <v>44083.495000000003</v>
      </c>
      <c r="AG12" s="1">
        <v>55806.256999999998</v>
      </c>
      <c r="AH12" s="1">
        <v>60132.231</v>
      </c>
      <c r="AI12" s="1">
        <v>50995.381000000001</v>
      </c>
      <c r="AK12" s="1">
        <v>56115.504999999997</v>
      </c>
    </row>
    <row r="13" spans="1:39" ht="12.75" customHeight="1">
      <c r="A13" s="1" t="s">
        <v>27</v>
      </c>
      <c r="B13" s="1">
        <v>663</v>
      </c>
      <c r="C13" s="1">
        <f>(535+0)+279</f>
        <v>814</v>
      </c>
      <c r="D13" s="1">
        <f>(645+7)+280</f>
        <v>932</v>
      </c>
      <c r="I13" s="1">
        <f>(1154.794+64.321)+400.499</f>
        <v>1619.614</v>
      </c>
      <c r="J13" s="157">
        <v>1734.26</v>
      </c>
      <c r="K13" s="1">
        <f>(852.79+102.556)+448.641</f>
        <v>1403.9870000000001</v>
      </c>
      <c r="L13" s="1">
        <f>(1356.806+23.494)+614.513</f>
        <v>1994.8130000000001</v>
      </c>
      <c r="M13" s="1">
        <v>1494.759</v>
      </c>
      <c r="N13" s="1">
        <f>(29927.408+3919.279)+1089.012</f>
        <v>34935.699000000001</v>
      </c>
      <c r="O13" s="1">
        <v>26917.442610000006</v>
      </c>
      <c r="R13" s="20">
        <v>7577.7539999999999</v>
      </c>
      <c r="S13" s="1">
        <v>10219.223000000002</v>
      </c>
      <c r="T13" s="51">
        <v>15958.576999999999</v>
      </c>
      <c r="U13" s="1">
        <v>13341.038</v>
      </c>
      <c r="V13" s="1">
        <v>22444.763999999999</v>
      </c>
      <c r="W13" s="157">
        <v>31189.763999999999</v>
      </c>
      <c r="X13" s="157">
        <v>30557.792000000001</v>
      </c>
      <c r="Y13" s="157">
        <v>30586.827000000001</v>
      </c>
      <c r="Z13" s="157">
        <v>39273.764999999999</v>
      </c>
      <c r="AA13" s="157">
        <v>17885.649000000001</v>
      </c>
      <c r="AB13" s="157">
        <v>31333.841</v>
      </c>
      <c r="AC13" s="157">
        <v>31545</v>
      </c>
      <c r="AD13" s="1">
        <v>20333.643</v>
      </c>
      <c r="AE13" s="1">
        <v>19142.222000000002</v>
      </c>
      <c r="AF13" s="1">
        <v>13741.11</v>
      </c>
      <c r="AG13" s="1">
        <v>12582.62</v>
      </c>
      <c r="AH13" s="1">
        <v>21059.98</v>
      </c>
      <c r="AI13" s="1">
        <v>17665.567999999999</v>
      </c>
      <c r="AK13" s="1">
        <v>15832.725</v>
      </c>
    </row>
    <row r="14" spans="1:39" ht="12.75" customHeight="1">
      <c r="A14" s="1" t="s">
        <v>28</v>
      </c>
      <c r="B14" s="1">
        <f>(2367+538)+1745</f>
        <v>4650</v>
      </c>
      <c r="C14" s="1">
        <f>(4324+162)+2052</f>
        <v>6538</v>
      </c>
      <c r="D14" s="1">
        <f>(283+5233)+1862</f>
        <v>7378</v>
      </c>
      <c r="I14" s="1">
        <f>(4454.049+639.061)+1496.186</f>
        <v>6589.2959999999994</v>
      </c>
      <c r="J14" s="157">
        <v>7674.2190000000001</v>
      </c>
      <c r="K14" s="1">
        <f>(4740.149+2239.703)+1697.325</f>
        <v>8677.1770000000015</v>
      </c>
      <c r="L14" s="1">
        <f>(4966.966+3229.266)+2994.368</f>
        <v>11190.6</v>
      </c>
      <c r="M14" s="1">
        <v>10536.8</v>
      </c>
      <c r="N14" s="1">
        <f>(8893.126+2699.354)+2572.89</f>
        <v>14165.369999999999</v>
      </c>
      <c r="O14" s="1">
        <v>11281.046999999999</v>
      </c>
      <c r="R14" s="20">
        <v>12998.762000000001</v>
      </c>
      <c r="S14" s="1">
        <v>21788.429</v>
      </c>
      <c r="T14" s="51">
        <v>43963.6</v>
      </c>
      <c r="U14" s="1">
        <v>45133.93</v>
      </c>
      <c r="V14" s="1">
        <v>24687.705000000002</v>
      </c>
      <c r="W14" s="157">
        <v>37463.313999999998</v>
      </c>
      <c r="X14" s="157">
        <v>33126.277000000002</v>
      </c>
      <c r="Y14" s="157">
        <v>37749.423000000003</v>
      </c>
      <c r="Z14" s="157">
        <v>43842.034</v>
      </c>
      <c r="AA14" s="157">
        <v>44976.158000000003</v>
      </c>
      <c r="AB14" s="157">
        <v>49281.91</v>
      </c>
      <c r="AC14" s="157">
        <v>46155</v>
      </c>
      <c r="AD14" s="1">
        <v>49654.381999999998</v>
      </c>
      <c r="AE14" s="1">
        <v>48362.993999999999</v>
      </c>
      <c r="AF14" s="1">
        <v>49467.881000000001</v>
      </c>
      <c r="AG14" s="1">
        <v>51794.644999999997</v>
      </c>
      <c r="AH14" s="1">
        <v>42424.811000000002</v>
      </c>
      <c r="AI14" s="1">
        <v>41839.862000000001</v>
      </c>
      <c r="AK14" s="1">
        <v>44731.792000000001</v>
      </c>
    </row>
    <row r="15" spans="1:39" ht="12.75" customHeight="1">
      <c r="A15" s="1" t="s">
        <v>29</v>
      </c>
      <c r="B15" s="1">
        <v>6027</v>
      </c>
      <c r="C15" s="1">
        <f>(2475+1)+41</f>
        <v>2517</v>
      </c>
      <c r="D15" s="1">
        <v>669</v>
      </c>
      <c r="I15" s="1">
        <f>(12377.966+1170.884)+482.151</f>
        <v>14031.001</v>
      </c>
      <c r="J15" s="157">
        <v>12705.569</v>
      </c>
      <c r="K15" s="1">
        <f>(15403.507+1245.806)+1015.333</f>
        <v>17664.645999999997</v>
      </c>
      <c r="L15" s="1">
        <f>(16452.285+1002.266)+595.57</f>
        <v>18050.120999999999</v>
      </c>
      <c r="M15" s="1">
        <v>26222.138999999999</v>
      </c>
      <c r="N15" s="1">
        <f>(29962.075+583.763)+1895.849</f>
        <v>32441.686999999998</v>
      </c>
      <c r="O15" s="1">
        <v>34670.138999999996</v>
      </c>
      <c r="R15" s="20">
        <v>41982.343000000001</v>
      </c>
      <c r="S15" s="1">
        <v>44709.976000000002</v>
      </c>
      <c r="T15" s="51">
        <v>47990.794999999998</v>
      </c>
      <c r="U15" s="1">
        <v>45921.201000000001</v>
      </c>
      <c r="V15" s="1">
        <v>55448.885999999999</v>
      </c>
      <c r="W15" s="157">
        <v>52437.633999999998</v>
      </c>
      <c r="X15" s="157">
        <v>61014.457999999999</v>
      </c>
      <c r="Y15" s="157">
        <v>62869.409</v>
      </c>
      <c r="Z15" s="157">
        <v>69230.481</v>
      </c>
      <c r="AA15" s="157">
        <v>66488.608999999997</v>
      </c>
      <c r="AB15" s="157">
        <v>56333.01</v>
      </c>
      <c r="AC15" s="157">
        <v>57469</v>
      </c>
      <c r="AD15" s="1">
        <v>63369.987999999998</v>
      </c>
      <c r="AE15" s="1">
        <v>62353.807000000001</v>
      </c>
      <c r="AF15" s="1">
        <v>64698.103999999999</v>
      </c>
      <c r="AG15" s="1">
        <v>71163.016000000003</v>
      </c>
      <c r="AH15" s="1">
        <v>68832.437999999995</v>
      </c>
      <c r="AI15" s="1">
        <v>73448.665999999997</v>
      </c>
      <c r="AK15" s="1">
        <v>90018.816000000006</v>
      </c>
    </row>
    <row r="16" spans="1:39" ht="12.75" customHeight="1">
      <c r="A16" s="1" t="s">
        <v>30</v>
      </c>
      <c r="B16" s="1">
        <f>(1977+429)+1483</f>
        <v>3889</v>
      </c>
      <c r="C16" s="1">
        <f>(3246+1063)+1937</f>
        <v>6246</v>
      </c>
      <c r="D16" s="1">
        <f>(3485+742)+2572</f>
        <v>6799</v>
      </c>
      <c r="I16" s="1">
        <f>(4574.078+1276.459)+4652.171</f>
        <v>10502.708000000001</v>
      </c>
      <c r="J16" s="157">
        <v>18228.167000000001</v>
      </c>
      <c r="K16" s="1">
        <f>(3561.298+689.608)+7170.842</f>
        <v>11421.748</v>
      </c>
      <c r="L16" s="1">
        <f>(3659.408+540.28)+7664.191</f>
        <v>11863.879000000001</v>
      </c>
      <c r="M16" s="1">
        <v>12590.98</v>
      </c>
      <c r="N16" s="1">
        <f>(2835.387+674.359)+7631.683</f>
        <v>11141.429</v>
      </c>
      <c r="O16" s="1">
        <v>13860.12311</v>
      </c>
      <c r="R16" s="20">
        <v>92112.494999999995</v>
      </c>
      <c r="S16" s="1">
        <v>114583.61200000001</v>
      </c>
      <c r="T16" s="1">
        <v>53023.953999999998</v>
      </c>
      <c r="U16" s="1">
        <v>108622.621</v>
      </c>
      <c r="V16" s="1">
        <v>56926.536</v>
      </c>
      <c r="W16" s="157">
        <v>68741.48</v>
      </c>
      <c r="X16" s="157">
        <v>72295.952999999994</v>
      </c>
      <c r="Y16" s="157">
        <v>73567.794999999998</v>
      </c>
      <c r="Z16" s="157">
        <v>87444.33</v>
      </c>
      <c r="AA16" s="157">
        <v>89439.323999999993</v>
      </c>
      <c r="AB16" s="157">
        <v>89630.426999999996</v>
      </c>
      <c r="AC16" s="157">
        <v>82125</v>
      </c>
      <c r="AD16" s="1">
        <v>74426.491999999998</v>
      </c>
      <c r="AE16" s="1">
        <v>84609.255999999994</v>
      </c>
      <c r="AF16" s="1">
        <v>76601.991999999998</v>
      </c>
      <c r="AG16" s="1">
        <v>110745.558</v>
      </c>
      <c r="AH16" s="1">
        <v>75291.307000000001</v>
      </c>
      <c r="AI16" s="1">
        <v>70644.61</v>
      </c>
      <c r="AK16" s="1">
        <v>73402.899000000005</v>
      </c>
    </row>
    <row r="17" spans="1:38" ht="12.75" customHeight="1">
      <c r="A17" s="1" t="s">
        <v>31</v>
      </c>
      <c r="B17" s="1">
        <f>(464+54)+764</f>
        <v>1282</v>
      </c>
      <c r="C17" s="1">
        <f>(421+55)+885</f>
        <v>1361</v>
      </c>
      <c r="D17" s="1">
        <f>(352+51)+1023</f>
        <v>1426</v>
      </c>
      <c r="I17" s="1">
        <f>(938.777+166.323)+3038.216</f>
        <v>4143.3159999999998</v>
      </c>
      <c r="J17" s="157">
        <v>6523.8680000000004</v>
      </c>
      <c r="K17" s="1">
        <f>(2833.706+239.451)+1963.519</f>
        <v>5036.6760000000004</v>
      </c>
      <c r="L17" s="1">
        <f>(3332.336+223.234)+1615.894</f>
        <v>5171.4639999999999</v>
      </c>
      <c r="M17" s="1">
        <v>5242.5479999999998</v>
      </c>
      <c r="N17" s="1">
        <f>(3007.646+101.88)+4026.544</f>
        <v>7136.07</v>
      </c>
      <c r="O17" s="1">
        <v>9318.7268599999989</v>
      </c>
      <c r="R17" s="20">
        <v>11831.164000000001</v>
      </c>
      <c r="S17" s="1">
        <v>24661.288999999997</v>
      </c>
      <c r="T17" s="1">
        <v>14444.06</v>
      </c>
      <c r="U17" s="1">
        <v>14573.282999999999</v>
      </c>
      <c r="V17" s="1">
        <v>12598.406999999999</v>
      </c>
      <c r="W17" s="157">
        <v>17610.734</v>
      </c>
      <c r="X17" s="157">
        <v>18161.237000000001</v>
      </c>
      <c r="Y17" s="157">
        <v>18694.349999999999</v>
      </c>
      <c r="Z17" s="157">
        <v>21986.05</v>
      </c>
      <c r="AA17" s="157">
        <v>27394.449000000001</v>
      </c>
      <c r="AB17" s="157">
        <v>29641.705999999998</v>
      </c>
      <c r="AC17" s="157">
        <v>29955</v>
      </c>
      <c r="AD17" s="1">
        <v>26393.576000000001</v>
      </c>
      <c r="AE17" s="1">
        <v>28785.241999999998</v>
      </c>
      <c r="AF17" s="1">
        <v>30436.814999999999</v>
      </c>
      <c r="AG17" s="1">
        <v>29900.764999999999</v>
      </c>
      <c r="AH17" s="1">
        <v>32017.681</v>
      </c>
      <c r="AI17" s="1">
        <v>31199.453000000001</v>
      </c>
      <c r="AK17" s="1">
        <v>35831.856</v>
      </c>
    </row>
    <row r="18" spans="1:38" ht="12.75" customHeight="1">
      <c r="A18" s="1" t="s">
        <v>32</v>
      </c>
      <c r="B18" s="1">
        <f>(1418+86)+914</f>
        <v>2418</v>
      </c>
      <c r="C18" s="1">
        <f>(1730+24)+215</f>
        <v>1969</v>
      </c>
      <c r="D18" s="1">
        <f>(1920+21)+280</f>
        <v>2221</v>
      </c>
      <c r="I18" s="1">
        <f>(2651.763+85.702)+473.007</f>
        <v>3210.4720000000002</v>
      </c>
      <c r="J18" s="157">
        <v>2899.2580000000003</v>
      </c>
      <c r="K18" s="1">
        <f>(1698.99+434.55)+794.991</f>
        <v>2928.5309999999999</v>
      </c>
      <c r="L18" s="1">
        <f>(1686.427+417.346)+1060.406</f>
        <v>3164.1790000000001</v>
      </c>
      <c r="M18" s="1">
        <v>3178.422</v>
      </c>
      <c r="N18" s="1">
        <f>(1394.264+811.015)+908.709</f>
        <v>3113.9879999999998</v>
      </c>
      <c r="O18" s="1">
        <v>11352.204</v>
      </c>
      <c r="R18" s="20">
        <v>22573.508000000002</v>
      </c>
      <c r="S18" s="1">
        <v>22106.11</v>
      </c>
      <c r="T18" s="1">
        <v>15653.451999999999</v>
      </c>
      <c r="U18" s="1">
        <v>53374.565999999999</v>
      </c>
      <c r="V18" s="1">
        <v>58554.688000000002</v>
      </c>
      <c r="W18" s="157">
        <v>66587.896999999997</v>
      </c>
      <c r="X18" s="157">
        <v>75610.464999999997</v>
      </c>
      <c r="Y18" s="157">
        <v>93168.97</v>
      </c>
      <c r="Z18" s="157">
        <v>97201.7</v>
      </c>
      <c r="AA18" s="157">
        <v>98676.767000000007</v>
      </c>
      <c r="AB18" s="157">
        <v>92456.013000000006</v>
      </c>
      <c r="AC18" s="157">
        <v>88647</v>
      </c>
      <c r="AD18" s="1">
        <v>97120.012000000002</v>
      </c>
      <c r="AE18" s="1">
        <v>102295.046</v>
      </c>
      <c r="AF18" s="1">
        <v>103357.501</v>
      </c>
      <c r="AG18" s="1">
        <v>104067.923</v>
      </c>
      <c r="AH18" s="1">
        <v>112421.855</v>
      </c>
      <c r="AI18" s="1">
        <v>116364.624</v>
      </c>
      <c r="AK18" s="1">
        <v>125426.87</v>
      </c>
    </row>
    <row r="19" spans="1:38" ht="12.75" customHeight="1">
      <c r="A19" s="1" t="s">
        <v>33</v>
      </c>
      <c r="B19" s="1">
        <f>(1421+87)+896</f>
        <v>2404</v>
      </c>
      <c r="C19" s="1">
        <f>(1116+161)+1329</f>
        <v>2606</v>
      </c>
      <c r="D19" s="1">
        <f>(1713+114)+1524</f>
        <v>3351</v>
      </c>
      <c r="I19" s="1">
        <f>(2034.794+185.312)+5572.115</f>
        <v>7792.2209999999995</v>
      </c>
      <c r="J19" s="157">
        <v>8962.9030000000002</v>
      </c>
      <c r="K19" s="1">
        <f>(1406.912+209.321)+4557.463</f>
        <v>6173.6959999999999</v>
      </c>
      <c r="L19" s="1">
        <f>(2000.577+254.711)+4419.621</f>
        <v>6674.9089999999997</v>
      </c>
      <c r="M19" s="1">
        <v>7223.9549999999999</v>
      </c>
      <c r="N19" s="1">
        <f>(1903.072+298.252)+5072.639</f>
        <v>7273.9629999999997</v>
      </c>
      <c r="O19" s="1">
        <v>8218.237000000001</v>
      </c>
      <c r="R19" s="27">
        <v>11400.691999999999</v>
      </c>
      <c r="S19" s="1">
        <v>15260.451000000001</v>
      </c>
      <c r="T19" s="1">
        <v>12515.34</v>
      </c>
      <c r="U19" s="1">
        <v>18343.913</v>
      </c>
      <c r="V19" s="1">
        <v>18556.651000000002</v>
      </c>
      <c r="W19" s="157">
        <v>24247.603999999999</v>
      </c>
      <c r="X19" s="157">
        <v>26313.962</v>
      </c>
      <c r="Y19" s="157">
        <v>31669.519</v>
      </c>
      <c r="Z19" s="157">
        <v>43041.277999999998</v>
      </c>
      <c r="AA19" s="157">
        <v>45767.156999999999</v>
      </c>
      <c r="AB19" s="157">
        <v>56725.983</v>
      </c>
      <c r="AC19" s="157">
        <v>63180</v>
      </c>
      <c r="AD19" s="1">
        <v>61732.250999999997</v>
      </c>
      <c r="AE19" s="1">
        <v>65761.966</v>
      </c>
      <c r="AF19" s="1">
        <v>64378.644</v>
      </c>
      <c r="AG19" s="1">
        <v>75739.788</v>
      </c>
      <c r="AH19" s="1">
        <v>92388.709000000003</v>
      </c>
      <c r="AI19" s="1">
        <v>108724.9</v>
      </c>
      <c r="AK19" s="1">
        <v>114612.412</v>
      </c>
    </row>
    <row r="20" spans="1:38" ht="12.75" customHeight="1">
      <c r="A20" s="1" t="s">
        <v>34</v>
      </c>
      <c r="B20" s="1">
        <f>(14872+6121)+3419</f>
        <v>24412</v>
      </c>
      <c r="C20" s="1">
        <f>(20056+8196)+2875</f>
        <v>31127</v>
      </c>
      <c r="D20" s="1">
        <f>(14545+2865)+5268</f>
        <v>22678</v>
      </c>
      <c r="I20" s="1">
        <f>(26194.258+10957.934)+9539.319</f>
        <v>46691.510999999999</v>
      </c>
      <c r="J20" s="157">
        <v>52422.561000000002</v>
      </c>
      <c r="K20" s="1">
        <f>(23351.729+10405.963)+9143.626</f>
        <v>42901.317999999999</v>
      </c>
      <c r="L20" s="1">
        <f>(20858.588+11568.683)+8681.508</f>
        <v>41108.779000000002</v>
      </c>
      <c r="M20" s="1">
        <v>38610.305999999997</v>
      </c>
      <c r="N20" s="1">
        <f>(15171.853+8541.725)+10631.289</f>
        <v>34344.866999999998</v>
      </c>
      <c r="O20" s="1">
        <v>37593.57</v>
      </c>
      <c r="R20" s="20">
        <v>59540.402999999998</v>
      </c>
      <c r="S20" s="1">
        <v>67267.328999999998</v>
      </c>
      <c r="T20" s="1">
        <v>100705.54</v>
      </c>
      <c r="U20" s="1">
        <v>119185.389</v>
      </c>
      <c r="V20" s="1">
        <v>96592.854000000007</v>
      </c>
      <c r="W20" s="157">
        <v>80949.383000000002</v>
      </c>
      <c r="X20" s="157">
        <v>83053.861000000004</v>
      </c>
      <c r="Y20" s="157">
        <v>90426.577000000005</v>
      </c>
      <c r="Z20" s="157">
        <v>106980.893</v>
      </c>
      <c r="AA20" s="157">
        <v>132459.87299999999</v>
      </c>
      <c r="AB20" s="157">
        <v>150107.984</v>
      </c>
      <c r="AC20" s="157">
        <v>167175</v>
      </c>
      <c r="AD20" s="1">
        <v>157724.242</v>
      </c>
      <c r="AE20" s="1">
        <v>159844.03899999999</v>
      </c>
      <c r="AF20" s="1">
        <v>169486.514</v>
      </c>
      <c r="AG20" s="1">
        <v>187031.42499999999</v>
      </c>
      <c r="AH20" s="1">
        <v>175009.69399999999</v>
      </c>
      <c r="AI20" s="1">
        <v>182660.81599999999</v>
      </c>
      <c r="AK20" s="1">
        <v>195251.93400000001</v>
      </c>
    </row>
    <row r="21" spans="1:38" ht="12.75" customHeight="1">
      <c r="A21" s="1" t="s">
        <v>35</v>
      </c>
      <c r="B21" s="1">
        <f>(34+1490)+0</f>
        <v>1524</v>
      </c>
      <c r="C21" s="1">
        <f>(828+931)+1187</f>
        <v>2946</v>
      </c>
      <c r="D21" s="1">
        <f>(876+853)+1419</f>
        <v>3148</v>
      </c>
      <c r="I21" s="1">
        <f>(1729.942+37.029)+2969.937</f>
        <v>4736.9079999999994</v>
      </c>
      <c r="J21" s="157">
        <v>8540.0239999999994</v>
      </c>
      <c r="K21" s="1">
        <f>(7712.235+52.424)+2228.449</f>
        <v>9993.1080000000002</v>
      </c>
      <c r="L21" s="1">
        <f>(10200.431+89.819)+2889.209</f>
        <v>13179.458999999999</v>
      </c>
      <c r="M21" s="1">
        <v>14779.849</v>
      </c>
      <c r="N21" s="1">
        <f>(12287.191+110.323)+3470.023</f>
        <v>15867.537</v>
      </c>
      <c r="O21" s="1">
        <v>16743.131000000001</v>
      </c>
      <c r="R21" s="20">
        <v>20203.687999999998</v>
      </c>
      <c r="S21" s="1">
        <v>22742.111999999997</v>
      </c>
      <c r="T21" s="1">
        <v>13258.793</v>
      </c>
      <c r="U21" s="1">
        <v>9532.7459999999992</v>
      </c>
      <c r="V21" s="1">
        <v>13471.718999999999</v>
      </c>
      <c r="W21" s="157">
        <v>15042.401</v>
      </c>
      <c r="X21" s="157">
        <v>19475.046999999999</v>
      </c>
      <c r="Y21" s="157">
        <v>22231.915000000001</v>
      </c>
      <c r="Z21" s="157">
        <v>23346.146000000001</v>
      </c>
      <c r="AA21" s="157">
        <v>23579.415000000001</v>
      </c>
      <c r="AB21" s="157">
        <v>20881.179</v>
      </c>
      <c r="AC21" s="157">
        <v>16548</v>
      </c>
      <c r="AD21" s="1">
        <v>24093.271000000001</v>
      </c>
      <c r="AE21" s="1">
        <v>23376.102999999999</v>
      </c>
      <c r="AF21" s="1">
        <v>26233.756000000001</v>
      </c>
      <c r="AG21" s="1">
        <v>26515.594000000001</v>
      </c>
      <c r="AH21" s="1">
        <v>25785.998</v>
      </c>
      <c r="AI21" s="1">
        <v>24325.296999999999</v>
      </c>
      <c r="AK21" s="1">
        <v>25425.804</v>
      </c>
    </row>
    <row r="22" spans="1:38" ht="12.75" customHeight="1">
      <c r="A22" s="30" t="s">
        <v>36</v>
      </c>
      <c r="B22" s="30">
        <f>(570+87)+101</f>
        <v>758</v>
      </c>
      <c r="C22" s="30">
        <v>747</v>
      </c>
      <c r="D22" s="30">
        <f>(0+661)+146</f>
        <v>807</v>
      </c>
      <c r="E22" s="30"/>
      <c r="F22" s="30"/>
      <c r="G22" s="30"/>
      <c r="H22" s="30"/>
      <c r="I22" s="30">
        <f>(885.27+0)+152.275</f>
        <v>1037.5450000000001</v>
      </c>
      <c r="J22" s="158">
        <v>1150.3439999999998</v>
      </c>
      <c r="K22" s="30">
        <v>1097.76</v>
      </c>
      <c r="L22" s="30">
        <v>1414.0530000000001</v>
      </c>
      <c r="M22" s="30">
        <v>1802.82</v>
      </c>
      <c r="N22" s="30">
        <f>(1557.202+328.025)+11.862</f>
        <v>1897.0889999999999</v>
      </c>
      <c r="O22" s="30">
        <v>1890.9939400000001</v>
      </c>
      <c r="P22" s="30"/>
      <c r="Q22" s="30"/>
      <c r="R22" s="30">
        <v>4195.4740000000002</v>
      </c>
      <c r="S22" s="30">
        <v>3420.942</v>
      </c>
      <c r="T22" s="30">
        <v>1743.7360000000001</v>
      </c>
      <c r="U22" s="30">
        <v>4938.6589999999997</v>
      </c>
      <c r="V22" s="30">
        <v>4065.3490000000002</v>
      </c>
      <c r="W22" s="158">
        <v>8048.5889999999999</v>
      </c>
      <c r="X22" s="158">
        <v>8749.3529999999992</v>
      </c>
      <c r="Y22" s="158">
        <v>9725.2440000000006</v>
      </c>
      <c r="Z22" s="158">
        <v>9310.9979999999996</v>
      </c>
      <c r="AA22" s="158">
        <v>19156.464</v>
      </c>
      <c r="AB22" s="158">
        <v>21444.261999999999</v>
      </c>
      <c r="AC22" s="158">
        <v>24208</v>
      </c>
      <c r="AD22" s="30">
        <v>25184.753000000001</v>
      </c>
      <c r="AE22" s="30">
        <v>25064.626</v>
      </c>
      <c r="AF22" s="30">
        <v>24562.99</v>
      </c>
      <c r="AG22" s="30">
        <v>20974.151000000002</v>
      </c>
      <c r="AH22" s="30">
        <v>20853.006000000001</v>
      </c>
      <c r="AI22" s="30">
        <v>19856.517</v>
      </c>
      <c r="AJ22" s="30"/>
      <c r="AK22" s="30">
        <v>20347.508999999998</v>
      </c>
    </row>
    <row r="23" spans="1:38" ht="12.75" customHeight="1">
      <c r="A23" s="6" t="s">
        <v>37</v>
      </c>
      <c r="B23" s="58">
        <f>SUM(B25:B37)</f>
        <v>0</v>
      </c>
      <c r="C23" s="58">
        <f t="shared" ref="C23:AL23" si="12">SUM(C25:C37)</f>
        <v>0</v>
      </c>
      <c r="D23" s="58">
        <f t="shared" si="12"/>
        <v>0</v>
      </c>
      <c r="E23" s="58">
        <f t="shared" si="12"/>
        <v>0</v>
      </c>
      <c r="F23" s="58">
        <f t="shared" si="12"/>
        <v>0</v>
      </c>
      <c r="G23" s="58">
        <f t="shared" si="12"/>
        <v>0</v>
      </c>
      <c r="H23" s="58">
        <f t="shared" si="12"/>
        <v>0</v>
      </c>
      <c r="I23" s="58">
        <f t="shared" si="12"/>
        <v>0</v>
      </c>
      <c r="J23" s="58">
        <f t="shared" si="12"/>
        <v>428865.94000000006</v>
      </c>
      <c r="K23" s="58">
        <f t="shared" si="12"/>
        <v>0</v>
      </c>
      <c r="L23" s="58">
        <f t="shared" si="12"/>
        <v>0</v>
      </c>
      <c r="M23" s="58">
        <f t="shared" si="12"/>
        <v>445037.93200000003</v>
      </c>
      <c r="N23" s="58">
        <f t="shared" si="12"/>
        <v>0</v>
      </c>
      <c r="O23" s="58">
        <f t="shared" si="12"/>
        <v>640332.51925000013</v>
      </c>
      <c r="P23" s="58">
        <f t="shared" si="12"/>
        <v>0</v>
      </c>
      <c r="Q23" s="58">
        <f t="shared" si="12"/>
        <v>0</v>
      </c>
      <c r="R23" s="58">
        <f t="shared" si="12"/>
        <v>777200.54300000006</v>
      </c>
      <c r="S23" s="58">
        <f t="shared" si="12"/>
        <v>1487578.963</v>
      </c>
      <c r="T23" s="58">
        <f t="shared" si="12"/>
        <v>1014818.6629999999</v>
      </c>
      <c r="U23" s="58">
        <f t="shared" si="12"/>
        <v>1013421.129</v>
      </c>
      <c r="V23" s="58">
        <f t="shared" si="12"/>
        <v>1045486.95</v>
      </c>
      <c r="W23" s="58">
        <f t="shared" si="12"/>
        <v>1259991.6959999998</v>
      </c>
      <c r="X23" s="58">
        <f t="shared" si="12"/>
        <v>1320251.3570000001</v>
      </c>
      <c r="Y23" s="58">
        <f t="shared" si="12"/>
        <v>1488664.0490000001</v>
      </c>
      <c r="Z23" s="58">
        <f t="shared" si="12"/>
        <v>1574001.8800000001</v>
      </c>
      <c r="AA23" s="58">
        <f t="shared" si="12"/>
        <v>1679101.9679999996</v>
      </c>
      <c r="AB23" s="58">
        <f t="shared" si="12"/>
        <v>1463559.5589999997</v>
      </c>
      <c r="AC23" s="58">
        <f t="shared" si="12"/>
        <v>1382822</v>
      </c>
      <c r="AD23" s="58">
        <f t="shared" si="12"/>
        <v>1394875.2610000002</v>
      </c>
      <c r="AE23" s="58">
        <f t="shared" si="12"/>
        <v>1501715.817</v>
      </c>
      <c r="AF23" s="58">
        <f t="shared" si="12"/>
        <v>1234399.4960000003</v>
      </c>
      <c r="AG23" s="58">
        <f t="shared" si="12"/>
        <v>1472141.5389999999</v>
      </c>
      <c r="AH23" s="58">
        <f t="shared" si="12"/>
        <v>2578569.3339999998</v>
      </c>
      <c r="AI23" s="58">
        <f t="shared" si="12"/>
        <v>2733999.4510000004</v>
      </c>
      <c r="AJ23" s="58">
        <f t="shared" si="12"/>
        <v>0</v>
      </c>
      <c r="AK23" s="58">
        <f t="shared" si="12"/>
        <v>3297561.5220000008</v>
      </c>
      <c r="AL23" s="58">
        <f t="shared" si="12"/>
        <v>0</v>
      </c>
    </row>
    <row r="24" spans="1:38" ht="12.75" customHeight="1">
      <c r="A24" s="6" t="s">
        <v>94</v>
      </c>
    </row>
    <row r="25" spans="1:38" ht="12.75" customHeight="1">
      <c r="A25" s="1" t="s">
        <v>38</v>
      </c>
      <c r="J25" s="157">
        <v>137.684</v>
      </c>
      <c r="M25" s="1">
        <v>378.61700000000002</v>
      </c>
      <c r="O25" s="1">
        <v>459.31700000000001</v>
      </c>
      <c r="R25" s="20">
        <v>990.30899999999997</v>
      </c>
      <c r="S25" s="1">
        <v>812.43799999999999</v>
      </c>
      <c r="T25" s="1">
        <v>1769.3589999999999</v>
      </c>
      <c r="U25" s="1">
        <v>1964.279</v>
      </c>
      <c r="V25" s="1">
        <v>1521.999</v>
      </c>
      <c r="W25" s="157">
        <v>1210.011</v>
      </c>
      <c r="X25" s="157">
        <v>7962.0079999999998</v>
      </c>
      <c r="Y25" s="157">
        <v>8182.2749999999996</v>
      </c>
      <c r="Z25" s="157">
        <v>2740.2950000000001</v>
      </c>
      <c r="AA25" s="157">
        <v>2469.596</v>
      </c>
      <c r="AB25" s="157">
        <v>2431.703</v>
      </c>
      <c r="AC25" s="157">
        <v>1218</v>
      </c>
      <c r="AD25" s="1">
        <v>2719.636</v>
      </c>
      <c r="AE25" s="1">
        <v>7244.25</v>
      </c>
      <c r="AH25" s="1">
        <v>2408.8049999999998</v>
      </c>
      <c r="AI25" s="1">
        <v>1565.4770000000001</v>
      </c>
      <c r="AK25" s="1">
        <v>1853.99</v>
      </c>
    </row>
    <row r="26" spans="1:38" ht="12.75" customHeight="1">
      <c r="A26" s="1" t="s">
        <v>39</v>
      </c>
      <c r="J26" s="157">
        <v>19443.835999999999</v>
      </c>
      <c r="M26" s="1">
        <v>21216.695</v>
      </c>
      <c r="O26" s="1">
        <v>27016.36418</v>
      </c>
      <c r="R26" s="20">
        <v>25163.432000000001</v>
      </c>
      <c r="S26" s="1">
        <v>33777.980000000003</v>
      </c>
      <c r="T26" s="1">
        <v>37664.841999999997</v>
      </c>
      <c r="U26" s="1">
        <v>36873.567999999999</v>
      </c>
      <c r="V26" s="1">
        <v>39541.864000000001</v>
      </c>
      <c r="W26" s="157">
        <v>44334.658000000003</v>
      </c>
      <c r="X26" s="157">
        <v>40152.203000000001</v>
      </c>
      <c r="Y26" s="157">
        <v>45997.561999999998</v>
      </c>
      <c r="Z26" s="157">
        <v>49418.110999999997</v>
      </c>
      <c r="AA26" s="157">
        <v>51579.682999999997</v>
      </c>
      <c r="AB26" s="157">
        <v>44011.086000000003</v>
      </c>
      <c r="AC26" s="157">
        <v>43464</v>
      </c>
      <c r="AD26" s="1">
        <v>44726.794999999998</v>
      </c>
      <c r="AE26" s="1">
        <v>41607.108</v>
      </c>
      <c r="AF26" s="1">
        <v>5986.5330000000004</v>
      </c>
      <c r="AG26" s="1">
        <v>7107.62</v>
      </c>
      <c r="AH26" s="1">
        <v>46926.392</v>
      </c>
      <c r="AI26" s="1">
        <v>45665.17</v>
      </c>
      <c r="AK26" s="1">
        <v>47885.133999999998</v>
      </c>
    </row>
    <row r="27" spans="1:38" ht="12.75" customHeight="1">
      <c r="A27" s="1" t="s">
        <v>40</v>
      </c>
      <c r="J27" s="157">
        <v>277791.14799999999</v>
      </c>
      <c r="M27" s="1">
        <v>233058.622</v>
      </c>
      <c r="O27" s="1">
        <v>389036.46120000002</v>
      </c>
      <c r="R27" s="20">
        <v>450752.07199999999</v>
      </c>
      <c r="S27" s="1">
        <v>1113020.706</v>
      </c>
      <c r="T27" s="1">
        <v>644635.66700000002</v>
      </c>
      <c r="U27" s="1">
        <v>579156.20700000005</v>
      </c>
      <c r="V27" s="1">
        <v>598098.98199999996</v>
      </c>
      <c r="W27" s="157">
        <v>805314.49399999995</v>
      </c>
      <c r="X27" s="157">
        <v>800201.65</v>
      </c>
      <c r="Y27" s="157">
        <v>971328.44400000002</v>
      </c>
      <c r="Z27" s="157">
        <v>996737.66099999996</v>
      </c>
      <c r="AA27" s="157">
        <v>984219.86100000003</v>
      </c>
      <c r="AB27" s="157">
        <v>791863.47199999995</v>
      </c>
      <c r="AC27" s="157">
        <v>750405</v>
      </c>
      <c r="AD27" s="1">
        <v>725418.47400000005</v>
      </c>
      <c r="AE27" s="1">
        <v>807210.99</v>
      </c>
      <c r="AF27" s="1">
        <v>677066.88500000001</v>
      </c>
      <c r="AG27" s="1">
        <v>914624.777</v>
      </c>
      <c r="AH27" s="1">
        <v>1819926.7779999999</v>
      </c>
      <c r="AI27" s="1">
        <v>1904490.9669999999</v>
      </c>
      <c r="AK27" s="1">
        <v>2403593.6340000001</v>
      </c>
    </row>
    <row r="28" spans="1:38" ht="12.75" customHeight="1">
      <c r="A28" s="1" t="s">
        <v>41</v>
      </c>
      <c r="J28" s="157">
        <v>13297.668</v>
      </c>
      <c r="M28" s="1">
        <v>13669.137000000001</v>
      </c>
      <c r="O28" s="1">
        <v>21316.004000000001</v>
      </c>
      <c r="R28" s="20">
        <v>21031.673999999999</v>
      </c>
      <c r="S28" s="1">
        <v>23218.055</v>
      </c>
      <c r="T28" s="1">
        <v>28431.904999999999</v>
      </c>
      <c r="U28" s="1">
        <v>31471.477999999999</v>
      </c>
      <c r="V28" s="1">
        <v>29324.574000000001</v>
      </c>
      <c r="W28" s="157">
        <v>30068.853000000003</v>
      </c>
      <c r="X28" s="157">
        <v>56781.862999999998</v>
      </c>
      <c r="Y28" s="157">
        <v>55902.576000000001</v>
      </c>
      <c r="Z28" s="157">
        <v>58589.945</v>
      </c>
      <c r="AA28" s="157">
        <v>58615.088000000003</v>
      </c>
      <c r="AB28" s="157">
        <v>39339.023999999998</v>
      </c>
      <c r="AC28" s="157">
        <v>53534</v>
      </c>
      <c r="AD28" s="1">
        <v>52231.303999999996</v>
      </c>
      <c r="AE28" s="1">
        <v>59265.913999999997</v>
      </c>
      <c r="AF28" s="1">
        <v>34062.798000000003</v>
      </c>
      <c r="AG28" s="1">
        <v>37313.686000000002</v>
      </c>
      <c r="AH28" s="1">
        <v>85309.664999999994</v>
      </c>
      <c r="AI28" s="1">
        <v>86874.593999999997</v>
      </c>
      <c r="AK28" s="1">
        <v>97411.001000000004</v>
      </c>
    </row>
    <row r="29" spans="1:38" ht="12.75" customHeight="1">
      <c r="A29" s="1" t="s">
        <v>42</v>
      </c>
      <c r="J29" s="157">
        <v>4053.3220000000001</v>
      </c>
      <c r="M29" s="1">
        <v>3726.1279999999997</v>
      </c>
      <c r="O29" s="1">
        <v>1020.765</v>
      </c>
      <c r="R29" s="20">
        <v>1184.481</v>
      </c>
      <c r="S29" s="1">
        <v>980.44799999999998</v>
      </c>
      <c r="T29" s="1">
        <v>782.28800000000001</v>
      </c>
      <c r="U29" s="1">
        <v>21885.843000000001</v>
      </c>
      <c r="V29" s="1">
        <v>19690.449000000001</v>
      </c>
      <c r="W29" s="157">
        <v>21111.992000000002</v>
      </c>
      <c r="X29" s="157">
        <v>24714.762999999999</v>
      </c>
      <c r="Y29" s="157">
        <v>27067.999</v>
      </c>
      <c r="Z29" s="157">
        <v>31499.499</v>
      </c>
      <c r="AA29" s="157">
        <v>42605.368999999999</v>
      </c>
      <c r="AB29" s="157">
        <v>39778.415000000001</v>
      </c>
      <c r="AC29" s="157">
        <v>39373</v>
      </c>
      <c r="AD29" s="1">
        <v>41788.834000000003</v>
      </c>
      <c r="AE29" s="1">
        <v>45273.154999999999</v>
      </c>
      <c r="AF29" s="1">
        <v>41838.226000000002</v>
      </c>
      <c r="AG29" s="1">
        <v>52499.199999999997</v>
      </c>
      <c r="AH29" s="1">
        <v>57247</v>
      </c>
      <c r="AI29" s="1">
        <v>64603.025999999998</v>
      </c>
      <c r="AK29" s="1">
        <v>81608.703999999998</v>
      </c>
    </row>
    <row r="30" spans="1:38" ht="12.75" customHeight="1">
      <c r="A30" s="1" t="s">
        <v>43</v>
      </c>
      <c r="J30" s="157">
        <v>1601.35</v>
      </c>
      <c r="M30" s="1">
        <v>3173.7739999999999</v>
      </c>
      <c r="O30" s="1">
        <v>4693.2290000000003</v>
      </c>
      <c r="R30" s="20">
        <v>4909.9180000000006</v>
      </c>
      <c r="S30" s="1">
        <v>5689.2829999999994</v>
      </c>
      <c r="T30" s="1">
        <v>5738.58</v>
      </c>
      <c r="U30" s="1">
        <v>10931.254000000001</v>
      </c>
      <c r="V30" s="1">
        <v>10694.956</v>
      </c>
      <c r="W30" s="157">
        <v>10541.128999999999</v>
      </c>
      <c r="X30" s="157">
        <v>11738.603999999999</v>
      </c>
      <c r="Y30" s="157">
        <v>9820.857</v>
      </c>
      <c r="Z30" s="157">
        <v>11504.787</v>
      </c>
      <c r="AA30" s="157">
        <v>11708.052</v>
      </c>
      <c r="AB30" s="157">
        <v>14890.439</v>
      </c>
      <c r="AC30" s="157">
        <v>12183</v>
      </c>
      <c r="AD30" s="1">
        <v>12787.218000000001</v>
      </c>
      <c r="AE30" s="1">
        <v>17662.625</v>
      </c>
      <c r="AF30" s="1">
        <v>17748.434000000001</v>
      </c>
      <c r="AG30" s="1">
        <v>6828.7619999999997</v>
      </c>
      <c r="AH30" s="1">
        <v>9160.0789999999997</v>
      </c>
      <c r="AI30" s="1">
        <v>12733.739</v>
      </c>
      <c r="AK30" s="1">
        <v>15205.654</v>
      </c>
    </row>
    <row r="31" spans="1:38" ht="12.75" customHeight="1">
      <c r="A31" s="1" t="s">
        <v>44</v>
      </c>
      <c r="J31" s="157">
        <v>1077.8739999999998</v>
      </c>
      <c r="M31" s="1">
        <v>1909.287</v>
      </c>
      <c r="O31" s="1">
        <v>3744.6721600000001</v>
      </c>
      <c r="R31" s="27">
        <v>4408.5069999999996</v>
      </c>
      <c r="S31" s="1">
        <v>4104.366</v>
      </c>
      <c r="T31" s="1">
        <v>4849.509</v>
      </c>
      <c r="U31" s="1">
        <v>7648.3609999999999</v>
      </c>
      <c r="V31" s="1">
        <v>5063.0339999999997</v>
      </c>
      <c r="W31" s="157">
        <v>3347.4630000000002</v>
      </c>
      <c r="X31" s="157">
        <v>5300.1459999999997</v>
      </c>
      <c r="Y31" s="157">
        <v>5484.0379999999996</v>
      </c>
      <c r="Z31" s="157">
        <v>7591.9650000000001</v>
      </c>
      <c r="AA31" s="157">
        <v>7635.9260000000004</v>
      </c>
      <c r="AB31" s="157">
        <v>5901.15</v>
      </c>
      <c r="AC31" s="157">
        <v>5497</v>
      </c>
      <c r="AD31" s="1">
        <v>5678.393</v>
      </c>
      <c r="AE31" s="1">
        <v>4781.558</v>
      </c>
      <c r="AF31" s="1">
        <v>5182.3389999999999</v>
      </c>
      <c r="AG31" s="1">
        <v>5318.7839999999997</v>
      </c>
      <c r="AH31" s="1">
        <v>5968.2849999999999</v>
      </c>
      <c r="AI31" s="1">
        <v>5639.125</v>
      </c>
      <c r="AK31" s="1">
        <v>7074.3130000000001</v>
      </c>
    </row>
    <row r="32" spans="1:38" ht="12.75" customHeight="1">
      <c r="A32" s="1" t="s">
        <v>45</v>
      </c>
      <c r="J32" s="157">
        <v>2260.7429999999999</v>
      </c>
      <c r="M32" s="1">
        <v>3238.0889999999999</v>
      </c>
      <c r="O32" s="1">
        <v>4183</v>
      </c>
      <c r="R32" s="27">
        <v>7363</v>
      </c>
      <c r="S32" s="1">
        <v>8991</v>
      </c>
      <c r="T32" s="1">
        <v>10645</v>
      </c>
      <c r="U32" s="1">
        <v>10348</v>
      </c>
      <c r="V32" s="1">
        <v>4037</v>
      </c>
      <c r="W32" s="157">
        <v>3554</v>
      </c>
      <c r="X32" s="157">
        <v>3580</v>
      </c>
      <c r="Y32" s="157">
        <v>2149</v>
      </c>
      <c r="Z32" s="157">
        <v>1864</v>
      </c>
      <c r="AA32" s="157">
        <v>10662</v>
      </c>
      <c r="AB32" s="157">
        <v>13333</v>
      </c>
      <c r="AC32" s="157">
        <v>13062</v>
      </c>
      <c r="AD32" s="1">
        <v>8175</v>
      </c>
      <c r="AE32" s="1">
        <v>8053</v>
      </c>
      <c r="AF32" s="1">
        <v>7632</v>
      </c>
      <c r="AG32" s="1">
        <v>7268</v>
      </c>
      <c r="AH32" s="1">
        <v>9838</v>
      </c>
      <c r="AI32" s="1">
        <v>9883</v>
      </c>
      <c r="AK32" s="1">
        <v>12834</v>
      </c>
    </row>
    <row r="33" spans="1:37" ht="12.75" customHeight="1">
      <c r="A33" s="1" t="s">
        <v>46</v>
      </c>
      <c r="J33" s="157">
        <v>9729.7260000000006</v>
      </c>
      <c r="M33" s="1">
        <v>8058.7910000000002</v>
      </c>
      <c r="O33" s="1">
        <v>10307.32756</v>
      </c>
      <c r="R33" s="27">
        <v>23446.232</v>
      </c>
      <c r="S33" s="1">
        <v>23477.155999999999</v>
      </c>
      <c r="T33" s="1">
        <v>22470.626</v>
      </c>
      <c r="U33" s="1">
        <v>33375.847999999998</v>
      </c>
      <c r="V33" s="1">
        <v>32666.031999999999</v>
      </c>
      <c r="W33" s="157">
        <v>32230.040999999997</v>
      </c>
      <c r="X33" s="157">
        <v>36722.163999999997</v>
      </c>
      <c r="Y33" s="157">
        <v>33002.999000000003</v>
      </c>
      <c r="Z33" s="157">
        <v>39011.733999999997</v>
      </c>
      <c r="AA33" s="157">
        <v>46919.686999999998</v>
      </c>
      <c r="AB33" s="157">
        <v>44048.896000000001</v>
      </c>
      <c r="AC33" s="157">
        <v>45930</v>
      </c>
      <c r="AD33" s="1">
        <v>44921.550999999999</v>
      </c>
      <c r="AE33" s="1">
        <v>44658.254000000001</v>
      </c>
      <c r="AF33" s="1">
        <v>38026.923999999999</v>
      </c>
      <c r="AG33" s="1">
        <v>30190.395</v>
      </c>
      <c r="AH33" s="1">
        <v>33023.156000000003</v>
      </c>
      <c r="AI33" s="1">
        <v>29005.276000000002</v>
      </c>
      <c r="AK33" s="1">
        <v>35723.864999999998</v>
      </c>
    </row>
    <row r="34" spans="1:37" ht="12.75" customHeight="1">
      <c r="A34" s="1" t="s">
        <v>47</v>
      </c>
      <c r="J34" s="157">
        <v>30929.987999999998</v>
      </c>
      <c r="M34" s="1">
        <v>37622.033000000003</v>
      </c>
      <c r="O34" s="1">
        <v>42571.821660000001</v>
      </c>
      <c r="R34" s="20">
        <v>49639.082000000002</v>
      </c>
      <c r="S34" s="1">
        <v>46202.161</v>
      </c>
      <c r="T34" s="1">
        <v>45599.81</v>
      </c>
      <c r="U34" s="1">
        <v>44331.381000000001</v>
      </c>
      <c r="V34" s="1">
        <v>41572.671000000002</v>
      </c>
      <c r="W34" s="157">
        <v>44720.244000000006</v>
      </c>
      <c r="X34" s="157">
        <v>51516.112999999998</v>
      </c>
      <c r="Y34" s="157">
        <v>50083.133999999998</v>
      </c>
      <c r="Z34" s="157">
        <v>60583.538</v>
      </c>
      <c r="AA34" s="157">
        <v>97820.656000000003</v>
      </c>
      <c r="AB34" s="157">
        <v>108735.215</v>
      </c>
      <c r="AC34" s="157">
        <v>61660</v>
      </c>
      <c r="AD34" s="1">
        <v>70225.987999999998</v>
      </c>
      <c r="AE34" s="1">
        <v>59845.413</v>
      </c>
      <c r="AF34" s="1">
        <v>65496.148000000001</v>
      </c>
      <c r="AG34" s="1">
        <v>64960.004999999997</v>
      </c>
      <c r="AH34" s="1">
        <v>64525.288999999997</v>
      </c>
      <c r="AI34" s="1">
        <v>100206.879</v>
      </c>
      <c r="AK34" s="1">
        <v>87676.543999999994</v>
      </c>
    </row>
    <row r="35" spans="1:37" ht="12.75" customHeight="1">
      <c r="A35" s="1" t="s">
        <v>48</v>
      </c>
      <c r="J35" s="157">
        <v>6171.2340000000004</v>
      </c>
      <c r="M35" s="1">
        <v>4910.0860000000002</v>
      </c>
      <c r="O35" s="1">
        <v>6987.8389999999999</v>
      </c>
      <c r="R35" s="20">
        <v>6494.3090000000002</v>
      </c>
      <c r="S35" s="1">
        <v>8932.6939999999995</v>
      </c>
      <c r="T35" s="1">
        <v>6608.2240000000002</v>
      </c>
      <c r="U35" s="1">
        <v>8214.1</v>
      </c>
      <c r="V35" s="1">
        <v>10111.867</v>
      </c>
      <c r="W35" s="157">
        <v>8831.9359999999997</v>
      </c>
      <c r="X35" s="157">
        <v>11354.646000000001</v>
      </c>
      <c r="Y35" s="157">
        <v>12553.806</v>
      </c>
      <c r="Z35" s="157">
        <v>15559.322</v>
      </c>
      <c r="AA35" s="157">
        <v>13256.558999999999</v>
      </c>
      <c r="AB35" s="157">
        <v>11970.646000000001</v>
      </c>
      <c r="AC35" s="157">
        <v>8830</v>
      </c>
      <c r="AD35" s="1">
        <v>4523.9179999999997</v>
      </c>
      <c r="AE35" s="1">
        <v>10175.885</v>
      </c>
      <c r="AF35" s="1">
        <v>7872.4070000000002</v>
      </c>
      <c r="AG35" s="1">
        <v>8443.5290000000005</v>
      </c>
      <c r="AH35" s="1">
        <v>6015.8209999999999</v>
      </c>
      <c r="AI35" s="1">
        <v>5341.9409999999998</v>
      </c>
      <c r="AK35" s="1">
        <v>6266.3969999999999</v>
      </c>
    </row>
    <row r="36" spans="1:37" ht="12.75" customHeight="1">
      <c r="A36" s="1" t="s">
        <v>49</v>
      </c>
      <c r="J36" s="157">
        <v>56984.535999999993</v>
      </c>
      <c r="M36" s="1">
        <v>109589.64700000001</v>
      </c>
      <c r="O36" s="1">
        <v>124193.57549</v>
      </c>
      <c r="R36" s="20">
        <v>177782.38800000001</v>
      </c>
      <c r="S36" s="1">
        <v>213570.98499999999</v>
      </c>
      <c r="T36" s="1">
        <v>200124.84400000001</v>
      </c>
      <c r="U36" s="1">
        <v>221402.41099999999</v>
      </c>
      <c r="V36" s="1">
        <v>247348.071</v>
      </c>
      <c r="W36" s="157">
        <v>249700.56399999998</v>
      </c>
      <c r="X36" s="157">
        <v>263011.38</v>
      </c>
      <c r="Y36" s="157">
        <v>253642.16899999999</v>
      </c>
      <c r="Z36" s="157">
        <v>278364.815</v>
      </c>
      <c r="AA36" s="157">
        <v>337371.34499999997</v>
      </c>
      <c r="AB36" s="157">
        <v>329593.67099999997</v>
      </c>
      <c r="AC36" s="157">
        <v>329243</v>
      </c>
      <c r="AD36" s="1">
        <v>361576.62300000002</v>
      </c>
      <c r="AE36" s="1">
        <v>367742.01799999998</v>
      </c>
      <c r="AF36" s="1">
        <v>305406.114</v>
      </c>
      <c r="AG36" s="1">
        <v>298508.51699999999</v>
      </c>
      <c r="AH36" s="1">
        <v>409693.54100000003</v>
      </c>
      <c r="AI36" s="1">
        <v>440875.587</v>
      </c>
      <c r="AK36" s="1">
        <v>471972.92200000002</v>
      </c>
    </row>
    <row r="37" spans="1:37" ht="12.75" customHeight="1">
      <c r="A37" s="30" t="s">
        <v>50</v>
      </c>
      <c r="B37" s="30"/>
      <c r="C37" s="30"/>
      <c r="D37" s="30"/>
      <c r="E37" s="30"/>
      <c r="F37" s="30"/>
      <c r="G37" s="30"/>
      <c r="H37" s="30"/>
      <c r="I37" s="30"/>
      <c r="J37" s="158">
        <v>5386.8310000000001</v>
      </c>
      <c r="K37" s="30"/>
      <c r="L37" s="30"/>
      <c r="M37" s="30">
        <v>4487.0259999999998</v>
      </c>
      <c r="N37" s="30"/>
      <c r="O37" s="30">
        <v>4802.143</v>
      </c>
      <c r="P37" s="30"/>
      <c r="Q37" s="30"/>
      <c r="R37" s="40">
        <v>4035.1390000000001</v>
      </c>
      <c r="S37" s="30">
        <v>4801.6909999999998</v>
      </c>
      <c r="T37" s="30">
        <v>5498.009</v>
      </c>
      <c r="U37" s="30">
        <v>5818.3990000000003</v>
      </c>
      <c r="V37" s="30">
        <v>5815.451</v>
      </c>
      <c r="W37" s="158">
        <v>5026.3109999999997</v>
      </c>
      <c r="X37" s="158">
        <v>7215.817</v>
      </c>
      <c r="Y37" s="158">
        <v>13449.19</v>
      </c>
      <c r="Z37" s="158">
        <v>20536.207999999999</v>
      </c>
      <c r="AA37" s="158">
        <v>14238.146000000001</v>
      </c>
      <c r="AB37" s="158">
        <v>17662.842000000001</v>
      </c>
      <c r="AC37" s="158">
        <v>18423</v>
      </c>
      <c r="AD37" s="30">
        <v>20101.526999999998</v>
      </c>
      <c r="AE37" s="30">
        <v>28195.647000000001</v>
      </c>
      <c r="AF37" s="30">
        <v>28080.687999999998</v>
      </c>
      <c r="AG37" s="30">
        <v>39078.264000000003</v>
      </c>
      <c r="AH37" s="30">
        <v>28526.523000000001</v>
      </c>
      <c r="AI37" s="30">
        <v>27114.67</v>
      </c>
      <c r="AJ37" s="30"/>
      <c r="AK37" s="30">
        <v>28455.364000000001</v>
      </c>
    </row>
    <row r="38" spans="1:37" ht="12.75" customHeight="1">
      <c r="A38" s="6" t="s">
        <v>51</v>
      </c>
      <c r="B38" s="58">
        <f>SUM(B40:B51)</f>
        <v>0</v>
      </c>
      <c r="C38" s="58">
        <f t="shared" ref="C38:AK38" si="13">SUM(C40:C51)</f>
        <v>0</v>
      </c>
      <c r="D38" s="58">
        <f t="shared" si="13"/>
        <v>0</v>
      </c>
      <c r="E38" s="58">
        <f t="shared" si="13"/>
        <v>0</v>
      </c>
      <c r="F38" s="58">
        <f t="shared" si="13"/>
        <v>0</v>
      </c>
      <c r="G38" s="58">
        <f t="shared" si="13"/>
        <v>0</v>
      </c>
      <c r="H38" s="58">
        <f t="shared" si="13"/>
        <v>0</v>
      </c>
      <c r="I38" s="58">
        <f t="shared" si="13"/>
        <v>0</v>
      </c>
      <c r="J38" s="58">
        <f t="shared" si="13"/>
        <v>209556.00399999996</v>
      </c>
      <c r="K38" s="58">
        <f t="shared" si="13"/>
        <v>0</v>
      </c>
      <c r="L38" s="58">
        <f t="shared" si="13"/>
        <v>0</v>
      </c>
      <c r="M38" s="58">
        <f t="shared" si="13"/>
        <v>273027.66600000003</v>
      </c>
      <c r="N38" s="58">
        <f t="shared" si="13"/>
        <v>0</v>
      </c>
      <c r="O38" s="58">
        <f t="shared" si="13"/>
        <v>443447.90270000004</v>
      </c>
      <c r="P38" s="58">
        <f t="shared" si="13"/>
        <v>0</v>
      </c>
      <c r="Q38" s="58">
        <f t="shared" si="13"/>
        <v>0</v>
      </c>
      <c r="R38" s="58">
        <f t="shared" si="13"/>
        <v>478905.39800000004</v>
      </c>
      <c r="S38" s="58">
        <f t="shared" si="13"/>
        <v>514262.83299999998</v>
      </c>
      <c r="T38" s="58">
        <f t="shared" si="13"/>
        <v>601356.93700000003</v>
      </c>
      <c r="U38" s="58">
        <f t="shared" si="13"/>
        <v>592196.46400000004</v>
      </c>
      <c r="V38" s="58">
        <f t="shared" si="13"/>
        <v>740533.35100000014</v>
      </c>
      <c r="W38" s="58">
        <f t="shared" si="13"/>
        <v>646794.72199999995</v>
      </c>
      <c r="X38" s="58">
        <f t="shared" si="13"/>
        <v>656170.62799999991</v>
      </c>
      <c r="Y38" s="58">
        <f t="shared" si="13"/>
        <v>648791.34499999997</v>
      </c>
      <c r="Z38" s="58">
        <f t="shared" si="13"/>
        <v>704946.9439999999</v>
      </c>
      <c r="AA38" s="58">
        <f t="shared" si="13"/>
        <v>786388.39600000007</v>
      </c>
      <c r="AB38" s="58">
        <f t="shared" si="13"/>
        <v>699053.00300000003</v>
      </c>
      <c r="AC38" s="58">
        <f t="shared" si="13"/>
        <v>761133</v>
      </c>
      <c r="AD38" s="58">
        <f t="shared" si="13"/>
        <v>810090.09900000016</v>
      </c>
      <c r="AE38" s="58">
        <f t="shared" si="13"/>
        <v>863959.19200000004</v>
      </c>
      <c r="AF38" s="58">
        <f t="shared" si="13"/>
        <v>600730.60699999996</v>
      </c>
      <c r="AG38" s="58">
        <f t="shared" si="13"/>
        <v>630445.14500000002</v>
      </c>
      <c r="AH38" s="58">
        <f t="shared" si="13"/>
        <v>937214.64099999995</v>
      </c>
      <c r="AI38" s="58">
        <f t="shared" si="13"/>
        <v>1035415.62</v>
      </c>
      <c r="AJ38" s="58">
        <f t="shared" si="13"/>
        <v>0</v>
      </c>
      <c r="AK38" s="58">
        <f t="shared" si="13"/>
        <v>1130915.0760000001</v>
      </c>
    </row>
    <row r="39" spans="1:37" ht="12.75" customHeight="1">
      <c r="A39" s="6" t="s">
        <v>94</v>
      </c>
    </row>
    <row r="40" spans="1:37" ht="12.75" customHeight="1">
      <c r="A40" s="1" t="s">
        <v>52</v>
      </c>
      <c r="J40" s="157">
        <v>74626.426999999996</v>
      </c>
      <c r="M40" s="1">
        <v>90289.403999999995</v>
      </c>
      <c r="O40" s="1">
        <v>192995.60434000002</v>
      </c>
      <c r="R40" s="20">
        <v>199458.18600000002</v>
      </c>
      <c r="S40" s="1">
        <v>197560.84599999999</v>
      </c>
      <c r="T40" s="1">
        <v>260540.92199999999</v>
      </c>
      <c r="U40" s="1">
        <v>203701.43</v>
      </c>
      <c r="V40" s="1">
        <v>396319.72399999999</v>
      </c>
      <c r="W40" s="157">
        <v>265367.69699999999</v>
      </c>
      <c r="X40" s="157">
        <v>267790.48499999999</v>
      </c>
      <c r="Y40" s="157">
        <v>241575.266</v>
      </c>
      <c r="Z40" s="157">
        <v>266347.70699999999</v>
      </c>
      <c r="AA40" s="157">
        <v>268620.06599999999</v>
      </c>
      <c r="AB40" s="157">
        <v>307533.98599999998</v>
      </c>
      <c r="AC40" s="157">
        <v>343150</v>
      </c>
      <c r="AD40" s="1">
        <v>384309.36200000002</v>
      </c>
      <c r="AE40" s="1">
        <v>425286.93099999998</v>
      </c>
      <c r="AF40" s="1">
        <v>234203.64499999999</v>
      </c>
      <c r="AG40" s="1">
        <v>242282.91699999999</v>
      </c>
      <c r="AH40" s="1">
        <v>434117.533</v>
      </c>
      <c r="AI40" s="1">
        <v>546365.95900000003</v>
      </c>
      <c r="AK40" s="1">
        <v>610454.90700000001</v>
      </c>
    </row>
    <row r="41" spans="1:37" ht="12.75" customHeight="1">
      <c r="A41" s="1" t="s">
        <v>53</v>
      </c>
      <c r="J41" s="157">
        <v>22199.527999999998</v>
      </c>
      <c r="M41" s="1">
        <v>24864.249</v>
      </c>
      <c r="O41" s="1">
        <v>45467.952000000005</v>
      </c>
      <c r="R41" s="20">
        <v>40637.999000000003</v>
      </c>
      <c r="S41" s="1">
        <v>40887.557000000001</v>
      </c>
      <c r="T41" s="1">
        <v>41544.805</v>
      </c>
      <c r="U41" s="1">
        <v>47669.84</v>
      </c>
      <c r="V41" s="1">
        <v>29943.322</v>
      </c>
      <c r="W41" s="157">
        <v>37714.468999999997</v>
      </c>
      <c r="X41" s="157">
        <v>37652.555</v>
      </c>
      <c r="Y41" s="157">
        <v>27403.518</v>
      </c>
      <c r="Z41" s="157">
        <v>30778.828000000001</v>
      </c>
      <c r="AA41" s="157">
        <v>39544.591999999997</v>
      </c>
      <c r="AB41" s="157">
        <v>52221.993000000002</v>
      </c>
      <c r="AC41" s="157">
        <v>65939</v>
      </c>
      <c r="AD41" s="1">
        <v>65987.769</v>
      </c>
      <c r="AE41" s="1">
        <v>70567.798999999999</v>
      </c>
      <c r="AF41" s="1">
        <v>74208.563999999998</v>
      </c>
      <c r="AG41" s="1">
        <v>71714.414999999994</v>
      </c>
      <c r="AH41" s="1">
        <v>51091.504000000001</v>
      </c>
      <c r="AI41" s="1">
        <v>48378.743999999999</v>
      </c>
      <c r="AK41" s="1">
        <v>69489.762000000002</v>
      </c>
    </row>
    <row r="42" spans="1:37" ht="12.75" customHeight="1">
      <c r="A42" s="1" t="s">
        <v>54</v>
      </c>
      <c r="J42" s="157">
        <v>9259.3729999999996</v>
      </c>
      <c r="M42" s="1">
        <v>9809.610999999999</v>
      </c>
      <c r="O42" s="1">
        <v>9283.9490000000005</v>
      </c>
      <c r="R42" s="20">
        <v>16372.244999999999</v>
      </c>
      <c r="S42" s="1">
        <v>18493.987000000001</v>
      </c>
      <c r="T42" s="1">
        <v>22519.385999999999</v>
      </c>
      <c r="U42" s="1">
        <v>32851.978999999999</v>
      </c>
      <c r="V42" s="1">
        <v>39153.754999999997</v>
      </c>
      <c r="W42" s="157">
        <v>41200.117000000006</v>
      </c>
      <c r="X42" s="157">
        <v>48555.349000000002</v>
      </c>
      <c r="Y42" s="157">
        <v>48016.836000000003</v>
      </c>
      <c r="Z42" s="157">
        <v>60008.408000000003</v>
      </c>
      <c r="AA42" s="157">
        <v>71319.591</v>
      </c>
      <c r="AB42" s="157">
        <v>45269.593999999997</v>
      </c>
      <c r="AC42" s="157">
        <v>50757</v>
      </c>
      <c r="AD42" s="1">
        <v>52459.427000000003</v>
      </c>
      <c r="AE42" s="1">
        <v>60581.116999999998</v>
      </c>
      <c r="AF42" s="1">
        <v>44576.534</v>
      </c>
      <c r="AG42" s="1">
        <v>56729.163999999997</v>
      </c>
      <c r="AH42" s="1">
        <v>49982.216999999997</v>
      </c>
      <c r="AI42" s="1">
        <v>48005.900999999998</v>
      </c>
      <c r="AK42" s="1">
        <v>52091.724000000002</v>
      </c>
    </row>
    <row r="43" spans="1:37" ht="12.75" customHeight="1">
      <c r="A43" s="1" t="s">
        <v>55</v>
      </c>
      <c r="J43" s="157">
        <v>11528.324999999999</v>
      </c>
      <c r="M43" s="1">
        <v>8299.4850000000006</v>
      </c>
      <c r="O43" s="1">
        <v>12455.384</v>
      </c>
      <c r="R43" s="20">
        <v>16927.240000000002</v>
      </c>
      <c r="S43" s="1">
        <v>12960.513000000001</v>
      </c>
      <c r="T43" s="1">
        <v>20446.915000000001</v>
      </c>
      <c r="U43" s="1">
        <v>22557.677</v>
      </c>
      <c r="V43" s="1">
        <v>13170.397000000001</v>
      </c>
      <c r="W43" s="157">
        <v>24563.913</v>
      </c>
      <c r="X43" s="157">
        <v>16017.813</v>
      </c>
      <c r="Y43" s="157">
        <v>16670.436000000002</v>
      </c>
      <c r="Z43" s="157">
        <v>17394.222000000002</v>
      </c>
      <c r="AA43" s="157">
        <v>56666.936999999998</v>
      </c>
      <c r="AB43" s="157">
        <v>19761.284</v>
      </c>
      <c r="AC43" s="157">
        <v>19426</v>
      </c>
      <c r="AD43" s="1">
        <v>18693.675999999999</v>
      </c>
      <c r="AE43" s="1">
        <v>24967.105</v>
      </c>
      <c r="AF43" s="1">
        <v>13336.161</v>
      </c>
      <c r="AG43" s="1">
        <v>12825.467000000001</v>
      </c>
      <c r="AH43" s="1">
        <v>21696.483</v>
      </c>
      <c r="AI43" s="1">
        <v>23971.891</v>
      </c>
      <c r="AK43" s="1">
        <v>28101.244999999999</v>
      </c>
    </row>
    <row r="44" spans="1:37" ht="12.75" customHeight="1">
      <c r="A44" s="1" t="s">
        <v>56</v>
      </c>
      <c r="J44" s="157">
        <v>28454.725000000002</v>
      </c>
      <c r="M44" s="1">
        <v>52992.383999999998</v>
      </c>
      <c r="O44" s="1">
        <v>42874.014000000003</v>
      </c>
      <c r="R44" s="20">
        <v>51550.662000000004</v>
      </c>
      <c r="S44" s="1">
        <v>63462.338000000003</v>
      </c>
      <c r="T44" s="1">
        <v>73318.847999999998</v>
      </c>
      <c r="U44" s="1">
        <v>79905.683000000005</v>
      </c>
      <c r="V44" s="1">
        <v>62050.826999999997</v>
      </c>
      <c r="W44" s="157">
        <v>63240.837</v>
      </c>
      <c r="X44" s="157">
        <v>67254.570999999996</v>
      </c>
      <c r="Y44" s="157">
        <v>69858.42</v>
      </c>
      <c r="Z44" s="157">
        <v>63008.455999999998</v>
      </c>
      <c r="AA44" s="157">
        <v>63072.879000000001</v>
      </c>
      <c r="AB44" s="157">
        <v>47465.712</v>
      </c>
      <c r="AC44" s="157">
        <v>48169</v>
      </c>
      <c r="AD44" s="1">
        <v>54352.436999999998</v>
      </c>
      <c r="AE44" s="1">
        <v>37395.000999999997</v>
      </c>
      <c r="AF44" s="1">
        <v>45346.48</v>
      </c>
      <c r="AG44" s="1">
        <v>54765.85</v>
      </c>
      <c r="AH44" s="1">
        <v>55300.646999999997</v>
      </c>
      <c r="AI44" s="1">
        <v>64154.837</v>
      </c>
      <c r="AK44" s="1">
        <v>55168.959999999999</v>
      </c>
    </row>
    <row r="45" spans="1:37" ht="12.75" customHeight="1">
      <c r="A45" s="1" t="s">
        <v>57</v>
      </c>
      <c r="J45" s="157">
        <v>16648.028999999999</v>
      </c>
      <c r="M45" s="1">
        <v>32191.817999999999</v>
      </c>
      <c r="O45" s="1">
        <v>42967.273609999997</v>
      </c>
      <c r="R45" s="20">
        <v>41541.069000000003</v>
      </c>
      <c r="S45" s="1">
        <v>44312.54</v>
      </c>
      <c r="T45" s="1">
        <v>49928.107000000004</v>
      </c>
      <c r="U45" s="1">
        <v>40677.417999999998</v>
      </c>
      <c r="V45" s="1">
        <v>37582.356</v>
      </c>
      <c r="W45" s="157">
        <v>45354.127</v>
      </c>
      <c r="X45" s="157">
        <v>47658.853000000003</v>
      </c>
      <c r="Y45" s="157">
        <v>57705.576999999997</v>
      </c>
      <c r="Z45" s="157">
        <v>56369.508000000002</v>
      </c>
      <c r="AA45" s="157">
        <v>57176.500999999997</v>
      </c>
      <c r="AB45" s="157">
        <v>57850.313000000002</v>
      </c>
      <c r="AC45" s="157">
        <v>44224</v>
      </c>
      <c r="AD45" s="1">
        <v>47873.658000000003</v>
      </c>
      <c r="AE45" s="1">
        <v>57721.781000000003</v>
      </c>
      <c r="AF45" s="1">
        <v>47645.542999999998</v>
      </c>
      <c r="AG45" s="1">
        <v>52965.788999999997</v>
      </c>
      <c r="AH45" s="1">
        <v>68109.589000000007</v>
      </c>
      <c r="AI45" s="1">
        <v>76189.735000000001</v>
      </c>
      <c r="AK45" s="1">
        <v>70256.504000000001</v>
      </c>
    </row>
    <row r="46" spans="1:37" ht="12.75" customHeight="1">
      <c r="A46" s="1" t="s">
        <v>58</v>
      </c>
      <c r="J46" s="157">
        <v>14336.849</v>
      </c>
      <c r="M46" s="1">
        <v>9245.5079999999998</v>
      </c>
      <c r="O46" s="1">
        <v>38370.078999999998</v>
      </c>
      <c r="R46" s="20">
        <v>28598.16</v>
      </c>
      <c r="S46" s="1">
        <v>37012.542000000001</v>
      </c>
      <c r="T46" s="1">
        <v>20923.314999999999</v>
      </c>
      <c r="U46" s="1">
        <v>18542.218000000001</v>
      </c>
      <c r="V46" s="1">
        <v>20130.542000000001</v>
      </c>
      <c r="W46" s="157">
        <v>18285.224999999999</v>
      </c>
      <c r="X46" s="157">
        <v>19817.516</v>
      </c>
      <c r="Y46" s="157">
        <v>22542.624</v>
      </c>
      <c r="Z46" s="157">
        <v>42131.247000000003</v>
      </c>
      <c r="AA46" s="157">
        <v>28089.656999999999</v>
      </c>
      <c r="AB46" s="157">
        <v>30225.473000000002</v>
      </c>
      <c r="AC46" s="157">
        <v>30347</v>
      </c>
      <c r="AD46" s="1">
        <v>41774.334000000003</v>
      </c>
      <c r="AE46" s="1">
        <v>29349.359</v>
      </c>
      <c r="AF46" s="1">
        <v>36781.108</v>
      </c>
      <c r="AG46" s="1">
        <v>31404.532999999999</v>
      </c>
      <c r="AH46" s="1">
        <v>46287.71</v>
      </c>
      <c r="AI46" s="1">
        <v>40379.786999999997</v>
      </c>
      <c r="AK46" s="1">
        <v>42726.688999999998</v>
      </c>
    </row>
    <row r="47" spans="1:37" ht="12.75" customHeight="1">
      <c r="A47" s="1" t="s">
        <v>59</v>
      </c>
      <c r="J47" s="157">
        <v>2871.1469999999999</v>
      </c>
      <c r="M47" s="1">
        <v>1919.835</v>
      </c>
      <c r="O47" s="1">
        <v>3801.2550000000001</v>
      </c>
      <c r="R47" s="27">
        <v>2991.683</v>
      </c>
      <c r="S47" s="1">
        <v>3117.6909999999998</v>
      </c>
      <c r="T47" s="1">
        <v>4720.7870000000003</v>
      </c>
      <c r="U47" s="1">
        <v>6335.9170000000004</v>
      </c>
      <c r="V47" s="1">
        <v>6364.1750000000002</v>
      </c>
      <c r="W47" s="157">
        <v>6481.0380000000005</v>
      </c>
      <c r="X47" s="157">
        <v>6084.915</v>
      </c>
      <c r="Y47" s="157">
        <v>4639.83</v>
      </c>
      <c r="Z47" s="157">
        <v>4580.4679999999998</v>
      </c>
      <c r="AA47" s="157">
        <v>5256.3549999999996</v>
      </c>
      <c r="AB47" s="157">
        <v>3950.5770000000002</v>
      </c>
      <c r="AC47" s="157">
        <v>5969</v>
      </c>
      <c r="AD47" s="1">
        <v>7003.0349999999999</v>
      </c>
      <c r="AE47" s="1">
        <v>5938.8389999999999</v>
      </c>
      <c r="AF47" s="1">
        <v>7439.5240000000003</v>
      </c>
      <c r="AG47" s="1">
        <v>9162.0239999999994</v>
      </c>
      <c r="AH47" s="1">
        <v>8674.7990000000009</v>
      </c>
      <c r="AI47" s="1">
        <v>8488.4410000000007</v>
      </c>
      <c r="AK47" s="1">
        <v>13842.772999999999</v>
      </c>
    </row>
    <row r="48" spans="1:37" ht="12.75" customHeight="1">
      <c r="A48" s="1" t="s">
        <v>60</v>
      </c>
      <c r="J48" s="157">
        <v>3341.2969999999996</v>
      </c>
      <c r="M48" s="1">
        <v>4106.5839999999998</v>
      </c>
      <c r="O48" s="1">
        <v>2268.18262</v>
      </c>
      <c r="R48" s="20">
        <v>5170.0779999999995</v>
      </c>
      <c r="S48" s="1">
        <v>4948.7209999999995</v>
      </c>
      <c r="T48" s="1">
        <v>4152.6180000000004</v>
      </c>
      <c r="U48" s="1">
        <v>3530.239</v>
      </c>
      <c r="V48" s="1">
        <v>3668.87</v>
      </c>
      <c r="W48" s="157">
        <v>4512.1559999999999</v>
      </c>
      <c r="X48" s="157">
        <v>5637.7719999999999</v>
      </c>
      <c r="Y48" s="157">
        <v>6050.9170000000004</v>
      </c>
      <c r="Z48" s="157">
        <v>5357.6440000000002</v>
      </c>
      <c r="AA48" s="157">
        <v>9032.1090000000004</v>
      </c>
      <c r="AB48" s="157">
        <v>8875.5110000000004</v>
      </c>
      <c r="AC48" s="157">
        <v>10141</v>
      </c>
      <c r="AD48" s="1">
        <v>11532.513999999999</v>
      </c>
      <c r="AE48" s="1">
        <v>11110.82</v>
      </c>
      <c r="AF48" s="1">
        <v>18538.57</v>
      </c>
      <c r="AG48" s="1">
        <v>19168.856</v>
      </c>
      <c r="AH48" s="1">
        <v>16086.512000000001</v>
      </c>
      <c r="AI48" s="1">
        <v>14576.481</v>
      </c>
      <c r="AK48" s="1">
        <v>13697.154</v>
      </c>
    </row>
    <row r="49" spans="1:37" ht="12.75" customHeight="1">
      <c r="A49" s="1" t="s">
        <v>61</v>
      </c>
      <c r="J49" s="157">
        <v>24486.482</v>
      </c>
      <c r="M49" s="1">
        <v>35340.245999999999</v>
      </c>
      <c r="O49" s="1">
        <v>39123.569000000003</v>
      </c>
      <c r="R49" s="20">
        <v>52672.271999999997</v>
      </c>
      <c r="S49" s="1">
        <v>62040.481</v>
      </c>
      <c r="T49" s="1">
        <v>53669.716999999997</v>
      </c>
      <c r="U49" s="1">
        <v>63477.184999999998</v>
      </c>
      <c r="V49" s="1">
        <v>63051.788999999997</v>
      </c>
      <c r="W49" s="157">
        <v>68814.05</v>
      </c>
      <c r="X49" s="157">
        <v>67923.116999999998</v>
      </c>
      <c r="Y49" s="157">
        <v>79533.84</v>
      </c>
      <c r="Z49" s="157">
        <v>83823.255999999994</v>
      </c>
      <c r="AA49" s="157">
        <v>104930.274</v>
      </c>
      <c r="AB49" s="157">
        <v>37243.048000000003</v>
      </c>
      <c r="AC49" s="157">
        <v>49053</v>
      </c>
      <c r="AD49" s="1">
        <v>41403.900999999998</v>
      </c>
      <c r="AE49" s="1">
        <v>43537.387000000002</v>
      </c>
      <c r="AF49" s="1">
        <v>44522.05</v>
      </c>
      <c r="AG49" s="1">
        <v>46835.08</v>
      </c>
      <c r="AH49" s="1">
        <v>51055.669000000002</v>
      </c>
      <c r="AI49" s="1">
        <v>50982.516000000003</v>
      </c>
      <c r="AK49" s="1">
        <v>53136.144999999997</v>
      </c>
    </row>
    <row r="50" spans="1:37" ht="12.75" customHeight="1">
      <c r="A50" s="1" t="s">
        <v>62</v>
      </c>
      <c r="J50" s="157">
        <v>0</v>
      </c>
      <c r="M50" s="1">
        <v>151.07499999999999</v>
      </c>
      <c r="O50" s="1">
        <v>7592.74413</v>
      </c>
      <c r="R50" s="20">
        <v>5440.9639999999999</v>
      </c>
      <c r="S50" s="1">
        <v>5896.6869999999999</v>
      </c>
      <c r="T50" s="1">
        <v>7914.7619999999997</v>
      </c>
      <c r="U50" s="1">
        <v>7922.3760000000002</v>
      </c>
      <c r="V50" s="1">
        <v>8009.3</v>
      </c>
      <c r="W50" s="157">
        <v>8481.9629999999997</v>
      </c>
      <c r="X50" s="157">
        <v>8446.09</v>
      </c>
      <c r="Y50" s="157">
        <v>11077.92</v>
      </c>
      <c r="Z50" s="157">
        <v>9820.2540000000008</v>
      </c>
      <c r="AA50" s="157">
        <v>16785.525000000001</v>
      </c>
      <c r="AB50" s="157">
        <v>16441.839</v>
      </c>
      <c r="AC50" s="157">
        <v>16091</v>
      </c>
      <c r="AD50" s="1">
        <v>11998.707</v>
      </c>
      <c r="AE50" s="1">
        <v>19298.600999999999</v>
      </c>
      <c r="AF50" s="1">
        <v>19851.738000000001</v>
      </c>
      <c r="AG50" s="1">
        <v>14891.591</v>
      </c>
      <c r="AH50" s="1">
        <v>30522.289000000001</v>
      </c>
      <c r="AI50" s="1">
        <v>19740.68</v>
      </c>
      <c r="AK50" s="1">
        <v>12879.897999999999</v>
      </c>
    </row>
    <row r="51" spans="1:37" ht="12.75" customHeight="1">
      <c r="A51" s="30" t="s">
        <v>63</v>
      </c>
      <c r="B51" s="30"/>
      <c r="C51" s="30"/>
      <c r="D51" s="30"/>
      <c r="E51" s="30"/>
      <c r="F51" s="30"/>
      <c r="G51" s="30"/>
      <c r="H51" s="30"/>
      <c r="I51" s="30"/>
      <c r="J51" s="158">
        <v>1803.8220000000001</v>
      </c>
      <c r="K51" s="30"/>
      <c r="L51" s="30"/>
      <c r="M51" s="30">
        <v>3817.4670000000001</v>
      </c>
      <c r="N51" s="30"/>
      <c r="O51" s="30">
        <v>6247.8959999999997</v>
      </c>
      <c r="P51" s="30"/>
      <c r="Q51" s="30"/>
      <c r="R51" s="40">
        <v>17544.84</v>
      </c>
      <c r="S51" s="30">
        <v>23568.93</v>
      </c>
      <c r="T51" s="30">
        <v>41676.754999999997</v>
      </c>
      <c r="U51" s="30">
        <v>65024.502</v>
      </c>
      <c r="V51" s="30">
        <v>61088.294000000002</v>
      </c>
      <c r="W51" s="158">
        <v>62779.13</v>
      </c>
      <c r="X51" s="158">
        <v>63331.591999999997</v>
      </c>
      <c r="Y51" s="158">
        <v>63716.161</v>
      </c>
      <c r="Z51" s="158">
        <v>65326.946000000004</v>
      </c>
      <c r="AA51" s="158">
        <v>65893.91</v>
      </c>
      <c r="AB51" s="158">
        <v>72213.672999999995</v>
      </c>
      <c r="AC51" s="158">
        <v>77867</v>
      </c>
      <c r="AD51" s="30">
        <v>72701.278999999995</v>
      </c>
      <c r="AE51" s="30">
        <v>78204.452000000005</v>
      </c>
      <c r="AF51" s="30">
        <v>14280.69</v>
      </c>
      <c r="AG51" s="30">
        <v>17699.458999999999</v>
      </c>
      <c r="AH51" s="30">
        <v>104289.689</v>
      </c>
      <c r="AI51" s="30">
        <v>94180.648000000001</v>
      </c>
      <c r="AJ51" s="30"/>
      <c r="AK51" s="30">
        <v>109069.315</v>
      </c>
    </row>
    <row r="52" spans="1:37" ht="12.75" customHeight="1">
      <c r="A52" s="6" t="s">
        <v>64</v>
      </c>
      <c r="B52" s="58">
        <f>SUM(B54:B62)</f>
        <v>0</v>
      </c>
      <c r="C52" s="58">
        <f t="shared" ref="C52:AK52" si="14">SUM(C54:C62)</f>
        <v>0</v>
      </c>
      <c r="D52" s="58">
        <f t="shared" si="14"/>
        <v>0</v>
      </c>
      <c r="E52" s="58">
        <f t="shared" si="14"/>
        <v>0</v>
      </c>
      <c r="F52" s="58">
        <f t="shared" si="14"/>
        <v>0</v>
      </c>
      <c r="G52" s="58">
        <f t="shared" si="14"/>
        <v>0</v>
      </c>
      <c r="H52" s="58">
        <f t="shared" si="14"/>
        <v>0</v>
      </c>
      <c r="I52" s="58">
        <f t="shared" si="14"/>
        <v>0</v>
      </c>
      <c r="J52" s="58">
        <f t="shared" si="14"/>
        <v>171995.81400000001</v>
      </c>
      <c r="K52" s="58">
        <f t="shared" si="14"/>
        <v>0</v>
      </c>
      <c r="L52" s="58">
        <f t="shared" si="14"/>
        <v>0</v>
      </c>
      <c r="M52" s="58">
        <f t="shared" si="14"/>
        <v>236731.54800000001</v>
      </c>
      <c r="N52" s="58">
        <f t="shared" si="14"/>
        <v>0</v>
      </c>
      <c r="O52" s="58">
        <f t="shared" si="14"/>
        <v>259046.97106999994</v>
      </c>
      <c r="P52" s="58">
        <f t="shared" si="14"/>
        <v>0</v>
      </c>
      <c r="Q52" s="58">
        <f t="shared" si="14"/>
        <v>0</v>
      </c>
      <c r="R52" s="58">
        <f t="shared" si="14"/>
        <v>266858.12299999996</v>
      </c>
      <c r="S52" s="58">
        <f t="shared" si="14"/>
        <v>330505.09000000003</v>
      </c>
      <c r="T52" s="58">
        <f t="shared" si="14"/>
        <v>432742.55499999999</v>
      </c>
      <c r="U52" s="58">
        <f t="shared" si="14"/>
        <v>410107.54999999993</v>
      </c>
      <c r="V52" s="58">
        <f t="shared" si="14"/>
        <v>392195.56999999995</v>
      </c>
      <c r="W52" s="58">
        <f t="shared" si="14"/>
        <v>407443.54</v>
      </c>
      <c r="X52" s="58">
        <f t="shared" si="14"/>
        <v>419684.522</v>
      </c>
      <c r="Y52" s="58">
        <f t="shared" si="14"/>
        <v>434639.299</v>
      </c>
      <c r="Z52" s="58">
        <f t="shared" si="14"/>
        <v>461070.09500000003</v>
      </c>
      <c r="AA52" s="58">
        <f t="shared" si="14"/>
        <v>505509.75799999997</v>
      </c>
      <c r="AB52" s="58">
        <f t="shared" si="14"/>
        <v>506218.23599999998</v>
      </c>
      <c r="AC52" s="58">
        <f t="shared" si="14"/>
        <v>524736</v>
      </c>
      <c r="AD52" s="58">
        <f t="shared" si="14"/>
        <v>551015.62699999998</v>
      </c>
      <c r="AE52" s="58">
        <f t="shared" si="14"/>
        <v>559295.23599999992</v>
      </c>
      <c r="AF52" s="58">
        <f t="shared" si="14"/>
        <v>586638.12699999998</v>
      </c>
      <c r="AG52" s="58">
        <f t="shared" si="14"/>
        <v>621838.1</v>
      </c>
      <c r="AH52" s="58">
        <f t="shared" si="14"/>
        <v>622395.9709999999</v>
      </c>
      <c r="AI52" s="58">
        <f t="shared" si="14"/>
        <v>615664.39099999995</v>
      </c>
      <c r="AJ52" s="58">
        <f t="shared" si="14"/>
        <v>0</v>
      </c>
      <c r="AK52" s="58">
        <f t="shared" si="14"/>
        <v>632668.076</v>
      </c>
    </row>
    <row r="53" spans="1:37" ht="12.75" customHeight="1">
      <c r="A53" s="6" t="s">
        <v>94</v>
      </c>
    </row>
    <row r="54" spans="1:37" ht="12.75" customHeight="1">
      <c r="A54" s="1" t="s">
        <v>65</v>
      </c>
      <c r="J54" s="157">
        <v>3953.44</v>
      </c>
      <c r="M54" s="1">
        <v>4280.585</v>
      </c>
      <c r="O54" s="1">
        <v>4356.9875000000002</v>
      </c>
      <c r="R54" s="20">
        <v>8956.66</v>
      </c>
      <c r="S54" s="1">
        <v>11286.565000000001</v>
      </c>
      <c r="T54" s="1">
        <v>10854.808000000001</v>
      </c>
      <c r="U54" s="1">
        <v>9420.5820000000003</v>
      </c>
      <c r="V54" s="1">
        <v>8870.9290000000001</v>
      </c>
      <c r="W54" s="157">
        <v>9700.56</v>
      </c>
      <c r="X54" s="157">
        <v>10463.397999999999</v>
      </c>
      <c r="Y54" s="157">
        <v>12410.865</v>
      </c>
      <c r="Z54" s="157">
        <v>17930.524000000001</v>
      </c>
      <c r="AA54" s="157">
        <v>18826.455999999998</v>
      </c>
      <c r="AB54" s="157">
        <v>21009.035</v>
      </c>
      <c r="AC54" s="157">
        <v>20278</v>
      </c>
      <c r="AD54" s="1">
        <v>22749.627</v>
      </c>
      <c r="AE54" s="1">
        <v>18658.399000000001</v>
      </c>
      <c r="AF54" s="1">
        <v>13013.083000000001</v>
      </c>
      <c r="AG54" s="1">
        <v>13482.075999999999</v>
      </c>
      <c r="AH54" s="1">
        <v>13404.557000000001</v>
      </c>
      <c r="AI54" s="1">
        <v>19966.607</v>
      </c>
      <c r="AK54" s="1">
        <v>17506.813999999998</v>
      </c>
    </row>
    <row r="55" spans="1:37" ht="12.75" customHeight="1">
      <c r="A55" s="1" t="s">
        <v>66</v>
      </c>
      <c r="J55" s="157">
        <v>3077.6610000000001</v>
      </c>
      <c r="M55" s="1">
        <v>2991.6440000000002</v>
      </c>
      <c r="O55" s="1">
        <v>3031.4470000000001</v>
      </c>
      <c r="R55" s="20">
        <v>4372.0290000000005</v>
      </c>
      <c r="S55" s="1">
        <v>4767.3680000000004</v>
      </c>
      <c r="T55" s="1">
        <v>7874.13</v>
      </c>
      <c r="U55" s="1">
        <v>6046.2060000000001</v>
      </c>
      <c r="V55" s="1">
        <v>7478.223</v>
      </c>
      <c r="W55" s="157">
        <v>8540.1869999999999</v>
      </c>
      <c r="X55" s="157">
        <v>6713.3119999999999</v>
      </c>
      <c r="Y55" s="157">
        <v>8394.7240000000002</v>
      </c>
      <c r="Z55" s="157">
        <v>8122.7020000000002</v>
      </c>
      <c r="AA55" s="157">
        <v>8337.1650000000009</v>
      </c>
      <c r="AB55" s="157">
        <v>7856.5879999999997</v>
      </c>
      <c r="AC55" s="157">
        <v>9458</v>
      </c>
      <c r="AD55" s="1">
        <v>20350.481</v>
      </c>
      <c r="AE55" s="1">
        <v>11051.648999999999</v>
      </c>
      <c r="AF55" s="1">
        <v>8170.1790000000001</v>
      </c>
      <c r="AG55" s="1">
        <v>11054.028</v>
      </c>
      <c r="AH55" s="1">
        <v>10713.752</v>
      </c>
      <c r="AI55" s="1">
        <v>11521.34</v>
      </c>
      <c r="AK55" s="1">
        <v>11700.223</v>
      </c>
    </row>
    <row r="56" spans="1:37" ht="12.75" customHeight="1">
      <c r="A56" s="1" t="s">
        <v>67</v>
      </c>
      <c r="J56" s="157">
        <v>13994.897999999999</v>
      </c>
      <c r="M56" s="1">
        <v>17487.345999999998</v>
      </c>
      <c r="O56" s="1">
        <v>21316.377</v>
      </c>
      <c r="R56" s="20">
        <v>41379.923999999999</v>
      </c>
      <c r="S56" s="1">
        <v>45969.967999999993</v>
      </c>
      <c r="T56" s="1">
        <v>42593.042999999998</v>
      </c>
      <c r="U56" s="1">
        <v>41163.230000000003</v>
      </c>
      <c r="V56" s="1">
        <v>39453.896999999997</v>
      </c>
      <c r="W56" s="157">
        <v>38265.790999999997</v>
      </c>
      <c r="X56" s="157">
        <v>48838.936999999998</v>
      </c>
      <c r="Y56" s="157">
        <v>51182.142999999996</v>
      </c>
      <c r="Z56" s="157">
        <v>57492.951999999997</v>
      </c>
      <c r="AA56" s="157">
        <v>65121.614000000001</v>
      </c>
      <c r="AB56" s="157">
        <v>52590.860999999997</v>
      </c>
      <c r="AC56" s="157">
        <v>61412</v>
      </c>
      <c r="AD56" s="1">
        <v>55296.247000000003</v>
      </c>
      <c r="AE56" s="1">
        <v>60259.875999999997</v>
      </c>
      <c r="AF56" s="1">
        <v>69772.258000000002</v>
      </c>
      <c r="AG56" s="1">
        <v>68946.392999999996</v>
      </c>
      <c r="AH56" s="1">
        <v>70057.508000000002</v>
      </c>
      <c r="AI56" s="1">
        <v>67730.307000000001</v>
      </c>
      <c r="AK56" s="1">
        <v>66485.135999999999</v>
      </c>
    </row>
    <row r="57" spans="1:37" ht="12.75" customHeight="1">
      <c r="A57" s="1" t="s">
        <v>68</v>
      </c>
      <c r="J57" s="157">
        <v>296.12</v>
      </c>
      <c r="M57" s="1">
        <v>177.93299999999999</v>
      </c>
      <c r="O57" s="1">
        <v>1158.72</v>
      </c>
      <c r="R57" s="27">
        <v>658.65699999999993</v>
      </c>
      <c r="S57" s="1">
        <v>623.63200000000006</v>
      </c>
      <c r="T57" s="1">
        <v>680.51900000000001</v>
      </c>
      <c r="U57" s="1">
        <v>788.04700000000003</v>
      </c>
      <c r="V57" s="1">
        <v>271.27800000000002</v>
      </c>
      <c r="W57" s="157">
        <v>822.90899999999999</v>
      </c>
      <c r="X57" s="157">
        <v>898.58900000000006</v>
      </c>
      <c r="Y57" s="157">
        <v>7991.8869999999997</v>
      </c>
      <c r="Z57" s="157">
        <v>1463.596</v>
      </c>
      <c r="AA57" s="157">
        <v>3049.5709999999999</v>
      </c>
      <c r="AB57" s="157">
        <v>1441.2239999999999</v>
      </c>
      <c r="AC57" s="157">
        <v>4936</v>
      </c>
      <c r="AD57" s="1">
        <v>2969.1089999999999</v>
      </c>
      <c r="AE57" s="1">
        <v>3528.6489999999999</v>
      </c>
      <c r="AF57" s="1">
        <v>2921.3719999999998</v>
      </c>
      <c r="AG57" s="1">
        <v>3705.136</v>
      </c>
      <c r="AH57" s="1">
        <v>2970.8209999999999</v>
      </c>
      <c r="AI57" s="1">
        <v>3503.5610000000001</v>
      </c>
      <c r="AK57" s="1">
        <v>5785.3149999999996</v>
      </c>
    </row>
    <row r="58" spans="1:37" ht="12.75" customHeight="1">
      <c r="A58" s="1" t="s">
        <v>69</v>
      </c>
      <c r="J58" s="157">
        <v>40291.692999999999</v>
      </c>
      <c r="M58" s="1">
        <v>38098.889000000003</v>
      </c>
      <c r="O58" s="1">
        <v>44859.597999999998</v>
      </c>
      <c r="R58" s="27">
        <v>46707.212</v>
      </c>
      <c r="S58" s="1">
        <v>55765.611000000004</v>
      </c>
      <c r="T58" s="1">
        <v>73192.493000000002</v>
      </c>
      <c r="U58" s="1">
        <v>65227.889000000003</v>
      </c>
      <c r="V58" s="1">
        <v>77290.315000000002</v>
      </c>
      <c r="W58" s="157">
        <v>80297.47099999999</v>
      </c>
      <c r="X58" s="157">
        <v>77560.612999999998</v>
      </c>
      <c r="Y58" s="157">
        <v>82071.676000000007</v>
      </c>
      <c r="Z58" s="157">
        <v>87002.989000000001</v>
      </c>
      <c r="AA58" s="157">
        <v>102684.803</v>
      </c>
      <c r="AB58" s="157">
        <v>115434.981</v>
      </c>
      <c r="AC58" s="157">
        <v>99357</v>
      </c>
      <c r="AD58" s="1">
        <v>89564.198999999993</v>
      </c>
      <c r="AE58" s="1">
        <v>95477.606</v>
      </c>
      <c r="AF58" s="1">
        <v>96136.588000000003</v>
      </c>
      <c r="AG58" s="1">
        <v>87928.145999999993</v>
      </c>
      <c r="AH58" s="1">
        <v>97789.841</v>
      </c>
      <c r="AI58" s="1">
        <v>79919.201000000001</v>
      </c>
      <c r="AK58" s="1">
        <v>112080.383</v>
      </c>
    </row>
    <row r="59" spans="1:37" ht="12.75" customHeight="1">
      <c r="A59" s="1" t="s">
        <v>70</v>
      </c>
      <c r="J59" s="157">
        <v>90631.627000000008</v>
      </c>
      <c r="M59" s="1">
        <v>145409.071</v>
      </c>
      <c r="O59" s="1">
        <v>156917.95699999999</v>
      </c>
      <c r="R59" s="27">
        <v>132590.94</v>
      </c>
      <c r="S59" s="1">
        <v>175695.283</v>
      </c>
      <c r="T59" s="1">
        <v>257893.516</v>
      </c>
      <c r="U59" s="1">
        <v>246216.851</v>
      </c>
      <c r="V59" s="1">
        <v>214730.70499999999</v>
      </c>
      <c r="W59" s="157">
        <v>224489.53899999999</v>
      </c>
      <c r="X59" s="157">
        <v>230340.014</v>
      </c>
      <c r="Y59" s="157">
        <v>228667.54500000001</v>
      </c>
      <c r="Z59" s="157">
        <v>238213.49900000001</v>
      </c>
      <c r="AA59" s="157">
        <v>260609.951</v>
      </c>
      <c r="AB59" s="157">
        <v>265497.57199999999</v>
      </c>
      <c r="AC59" s="157">
        <v>283785</v>
      </c>
      <c r="AD59" s="1">
        <v>307324.51400000002</v>
      </c>
      <c r="AE59" s="1">
        <v>313023.429</v>
      </c>
      <c r="AF59" s="1">
        <v>340666.80499999999</v>
      </c>
      <c r="AG59" s="1">
        <v>375496.152</v>
      </c>
      <c r="AH59" s="1">
        <v>370442.50199999998</v>
      </c>
      <c r="AI59" s="1">
        <v>373028.57699999999</v>
      </c>
      <c r="AK59" s="1">
        <v>351376.99300000002</v>
      </c>
    </row>
    <row r="60" spans="1:37" ht="12.75" customHeight="1">
      <c r="A60" s="1" t="s">
        <v>71</v>
      </c>
      <c r="J60" s="157">
        <v>13709.864</v>
      </c>
      <c r="M60" s="1">
        <v>24005.351999999999</v>
      </c>
      <c r="O60" s="1">
        <v>23211.295569999998</v>
      </c>
      <c r="R60" s="20">
        <v>26920.093000000001</v>
      </c>
      <c r="S60" s="1">
        <v>32403.476999999999</v>
      </c>
      <c r="T60" s="1">
        <v>36521.044000000002</v>
      </c>
      <c r="U60" s="1">
        <v>38410.182000000001</v>
      </c>
      <c r="V60" s="1">
        <v>40765.330999999998</v>
      </c>
      <c r="W60" s="157">
        <v>42090.668999999994</v>
      </c>
      <c r="X60" s="157">
        <v>41584.480000000003</v>
      </c>
      <c r="Y60" s="157">
        <v>40917.269999999997</v>
      </c>
      <c r="Z60" s="157">
        <v>47128.271000000001</v>
      </c>
      <c r="AA60" s="157">
        <v>40710.974999999999</v>
      </c>
      <c r="AB60" s="157">
        <v>38533.830999999998</v>
      </c>
      <c r="AC60" s="157">
        <v>42412</v>
      </c>
      <c r="AD60" s="1">
        <v>49666.203000000001</v>
      </c>
      <c r="AE60" s="1">
        <v>52214.624000000003</v>
      </c>
      <c r="AF60" s="1">
        <v>50878.097999999998</v>
      </c>
      <c r="AG60" s="1">
        <v>54600.252999999997</v>
      </c>
      <c r="AH60" s="1">
        <v>49331.347999999998</v>
      </c>
      <c r="AI60" s="1">
        <v>52022.699000000001</v>
      </c>
      <c r="AK60" s="1">
        <v>53229.284</v>
      </c>
    </row>
    <row r="61" spans="1:37" ht="12.75" customHeight="1">
      <c r="A61" s="1" t="s">
        <v>72</v>
      </c>
      <c r="J61" s="157">
        <v>4136.7449999999999</v>
      </c>
      <c r="M61" s="1">
        <v>3572.6529999999998</v>
      </c>
      <c r="O61" s="1">
        <v>3423.0169999999998</v>
      </c>
      <c r="R61" s="20">
        <v>4478.7440000000006</v>
      </c>
      <c r="S61" s="1">
        <v>3194.95</v>
      </c>
      <c r="T61" s="1">
        <v>2032.942</v>
      </c>
      <c r="U61" s="1">
        <v>2232.0929999999998</v>
      </c>
      <c r="V61" s="1">
        <v>2820.1439999999998</v>
      </c>
      <c r="W61" s="157">
        <v>2841.3049999999998</v>
      </c>
      <c r="X61" s="157">
        <v>2885.116</v>
      </c>
      <c r="Y61" s="157">
        <v>2887.3409999999999</v>
      </c>
      <c r="Z61" s="157">
        <v>3497.5259999999998</v>
      </c>
      <c r="AA61" s="157">
        <v>4156.8559999999998</v>
      </c>
      <c r="AB61" s="157">
        <v>3052.7559999999999</v>
      </c>
      <c r="AC61" s="157">
        <v>2615</v>
      </c>
      <c r="AD61" s="1">
        <v>2696.9650000000001</v>
      </c>
      <c r="AE61" s="1">
        <v>2794.0390000000002</v>
      </c>
      <c r="AF61" s="1">
        <v>2902.328</v>
      </c>
      <c r="AG61" s="1">
        <v>2637.0909999999999</v>
      </c>
      <c r="AH61" s="1">
        <v>6438.8710000000001</v>
      </c>
      <c r="AI61" s="1">
        <v>6508.3689999999997</v>
      </c>
      <c r="AK61" s="1">
        <v>12715.129000000001</v>
      </c>
    </row>
    <row r="62" spans="1:37" ht="12.75" customHeight="1">
      <c r="A62" s="30" t="s">
        <v>73</v>
      </c>
      <c r="B62" s="30"/>
      <c r="C62" s="30"/>
      <c r="D62" s="30"/>
      <c r="E62" s="30"/>
      <c r="F62" s="30"/>
      <c r="G62" s="30"/>
      <c r="H62" s="30"/>
      <c r="I62" s="30"/>
      <c r="J62" s="158">
        <v>1903.7660000000001</v>
      </c>
      <c r="K62" s="30"/>
      <c r="L62" s="30"/>
      <c r="M62" s="30">
        <v>708.07500000000005</v>
      </c>
      <c r="N62" s="30"/>
      <c r="O62" s="30">
        <v>771.572</v>
      </c>
      <c r="P62" s="30"/>
      <c r="Q62" s="30"/>
      <c r="R62" s="40">
        <v>793.86399999999992</v>
      </c>
      <c r="S62" s="30">
        <v>798.2360000000001</v>
      </c>
      <c r="T62" s="30">
        <v>1100.06</v>
      </c>
      <c r="U62" s="30">
        <v>602.47</v>
      </c>
      <c r="V62" s="30">
        <v>514.74800000000005</v>
      </c>
      <c r="W62" s="158">
        <v>395.10899999999998</v>
      </c>
      <c r="X62" s="158">
        <v>400.06299999999999</v>
      </c>
      <c r="Y62" s="158">
        <v>115.848</v>
      </c>
      <c r="Z62" s="158">
        <v>218.036</v>
      </c>
      <c r="AA62" s="158">
        <v>2012.367</v>
      </c>
      <c r="AB62" s="158">
        <v>801.38800000000003</v>
      </c>
      <c r="AC62" s="158">
        <v>483</v>
      </c>
      <c r="AD62" s="1">
        <v>398.28199999999998</v>
      </c>
      <c r="AE62" s="1">
        <v>2286.9650000000001</v>
      </c>
      <c r="AF62" s="1">
        <v>2177.4160000000002</v>
      </c>
      <c r="AG62" s="1">
        <v>3988.8249999999998</v>
      </c>
      <c r="AH62" s="1">
        <v>1246.771</v>
      </c>
      <c r="AI62" s="1">
        <v>1463.73</v>
      </c>
      <c r="AK62" s="1">
        <v>1788.799</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v>0</v>
      </c>
      <c r="AB63" s="159">
        <v>0</v>
      </c>
      <c r="AC63" s="159">
        <v>0</v>
      </c>
      <c r="AD63" s="159">
        <v>0</v>
      </c>
      <c r="AE63" s="159">
        <v>0</v>
      </c>
      <c r="AF63" s="159">
        <v>0</v>
      </c>
      <c r="AG63" s="159">
        <v>0</v>
      </c>
      <c r="AH63" s="159"/>
      <c r="AI63" s="159"/>
      <c r="AJ63" s="159"/>
      <c r="AK63" s="159"/>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8"/>
  </sheetPr>
  <dimension ref="A1:HB92"/>
  <sheetViews>
    <sheetView zoomScaleNormal="100" workbookViewId="0">
      <pane xSplit="1" ySplit="3" topLeftCell="AC4" activePane="bottomRight" state="frozen"/>
      <selection pane="topRight" activeCell="O44" sqref="O44"/>
      <selection pane="bottomLeft" activeCell="O44" sqref="O44"/>
      <selection pane="bottomRight" activeCell="AK7" sqref="AK7:AK22"/>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7" width="10.710937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164</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1">
        <v>12650</v>
      </c>
      <c r="C4" s="1">
        <v>12844</v>
      </c>
      <c r="D4" s="1">
        <v>13738</v>
      </c>
      <c r="I4" s="1">
        <v>15350.384</v>
      </c>
      <c r="J4" s="59">
        <f>+J5+J23+J38+J52+J63</f>
        <v>15145.375000000002</v>
      </c>
      <c r="K4" s="42">
        <v>15656.78</v>
      </c>
      <c r="L4" s="42">
        <v>17605.739000000001</v>
      </c>
      <c r="M4" s="59">
        <f>+M5+M23+M38+M52+M63</f>
        <v>24178.597000000002</v>
      </c>
      <c r="N4" s="42">
        <v>23588.491000000002</v>
      </c>
      <c r="O4" s="59">
        <f>+O5+O23+O38+O52+O63</f>
        <v>19300.043300000001</v>
      </c>
      <c r="R4" s="59">
        <f t="shared" ref="R4:AA4" si="0">+R5+R23+R38+R52+R63</f>
        <v>22651.368999999999</v>
      </c>
      <c r="S4" s="59">
        <f t="shared" si="0"/>
        <v>27170.374</v>
      </c>
      <c r="T4" s="59">
        <f t="shared" si="0"/>
        <v>202883.76699999996</v>
      </c>
      <c r="U4" s="59">
        <f t="shared" si="0"/>
        <v>221126.92800000004</v>
      </c>
      <c r="V4" s="59">
        <f t="shared" si="0"/>
        <v>191113.65400000001</v>
      </c>
      <c r="W4" s="59">
        <f t="shared" si="0"/>
        <v>377091.402</v>
      </c>
      <c r="X4" s="59">
        <f t="shared" si="0"/>
        <v>600373.78399999999</v>
      </c>
      <c r="Y4" s="59">
        <f t="shared" si="0"/>
        <v>891025.505</v>
      </c>
      <c r="Z4" s="59">
        <f t="shared" si="0"/>
        <v>741866.08400000015</v>
      </c>
      <c r="AA4" s="59">
        <f t="shared" si="0"/>
        <v>412002.29600000003</v>
      </c>
      <c r="AB4" s="59">
        <f t="shared" ref="AB4:AC4" si="1">+AB5+AB23+AB38+AB52+AB63</f>
        <v>411167.82000000007</v>
      </c>
      <c r="AC4" s="59">
        <f t="shared" si="1"/>
        <v>460299</v>
      </c>
      <c r="AD4" s="59">
        <f t="shared" ref="AD4:AE4" si="2">+AD5+AD23+AD38+AD52+AD63</f>
        <v>193005.45199999999</v>
      </c>
      <c r="AE4" s="59">
        <f t="shared" si="2"/>
        <v>194445.00599999999</v>
      </c>
      <c r="AF4" s="59">
        <f t="shared" ref="AF4" si="3">+AF5+AF23+AF38+AF52+AF63</f>
        <v>339321.989</v>
      </c>
      <c r="AG4" s="59">
        <f t="shared" ref="AG4:AI4" si="4">+AG5+AG23+AG38+AG52+AG63</f>
        <v>126635.06800000001</v>
      </c>
      <c r="AH4" s="59">
        <f t="shared" si="4"/>
        <v>186423.20199999999</v>
      </c>
      <c r="AI4" s="59">
        <f t="shared" si="4"/>
        <v>282429.74400000001</v>
      </c>
      <c r="AJ4" s="59">
        <f t="shared" ref="AJ4:AK4" si="5">+AJ5+AJ23+AJ38+AJ52+AJ63</f>
        <v>0</v>
      </c>
      <c r="AK4" s="59">
        <f t="shared" si="5"/>
        <v>723171.64899999998</v>
      </c>
    </row>
    <row r="5" spans="1:39" ht="12.75" customHeight="1">
      <c r="A5" s="1" t="s">
        <v>20</v>
      </c>
      <c r="B5" s="58">
        <f>SUM(B7:B22)</f>
        <v>1070</v>
      </c>
      <c r="C5" s="58">
        <f t="shared" ref="C5:AA5" si="6">SUM(C7:C22)</f>
        <v>1590</v>
      </c>
      <c r="D5" s="58">
        <f t="shared" si="6"/>
        <v>1506</v>
      </c>
      <c r="E5" s="58">
        <f t="shared" si="6"/>
        <v>0</v>
      </c>
      <c r="F5" s="58">
        <f t="shared" si="6"/>
        <v>0</v>
      </c>
      <c r="G5" s="58">
        <f t="shared" si="6"/>
        <v>0</v>
      </c>
      <c r="H5" s="58">
        <f t="shared" si="6"/>
        <v>0</v>
      </c>
      <c r="I5" s="58">
        <f t="shared" si="6"/>
        <v>2785.3649999999998</v>
      </c>
      <c r="J5" s="58">
        <f t="shared" si="6"/>
        <v>3131.5579999999995</v>
      </c>
      <c r="K5" s="58">
        <f t="shared" si="6"/>
        <v>3501.4280000000003</v>
      </c>
      <c r="L5" s="58">
        <f t="shared" si="6"/>
        <v>3172.8630000000003</v>
      </c>
      <c r="M5" s="58">
        <f t="shared" si="6"/>
        <v>8702.0370000000003</v>
      </c>
      <c r="N5" s="58">
        <f t="shared" si="6"/>
        <v>9593.1370000000006</v>
      </c>
      <c r="O5" s="58">
        <f t="shared" si="6"/>
        <v>4056.6189999999997</v>
      </c>
      <c r="P5" s="58">
        <f t="shared" si="6"/>
        <v>0</v>
      </c>
      <c r="Q5" s="58">
        <f t="shared" si="6"/>
        <v>0</v>
      </c>
      <c r="R5" s="58">
        <f t="shared" si="6"/>
        <v>5067.4139999999989</v>
      </c>
      <c r="S5" s="58">
        <f t="shared" si="6"/>
        <v>5895.3780000000015</v>
      </c>
      <c r="T5" s="58">
        <f t="shared" si="6"/>
        <v>62830.86099999999</v>
      </c>
      <c r="U5" s="58">
        <f t="shared" si="6"/>
        <v>58767.548000000003</v>
      </c>
      <c r="V5" s="58">
        <f t="shared" si="6"/>
        <v>52123.091</v>
      </c>
      <c r="W5" s="58">
        <f t="shared" si="6"/>
        <v>80870.803999999989</v>
      </c>
      <c r="X5" s="58">
        <f t="shared" si="6"/>
        <v>154161.77300000002</v>
      </c>
      <c r="Y5" s="58">
        <f t="shared" si="6"/>
        <v>258509.40400000001</v>
      </c>
      <c r="Z5" s="58">
        <f t="shared" si="6"/>
        <v>174868.86400000003</v>
      </c>
      <c r="AA5" s="58">
        <f t="shared" si="6"/>
        <v>54793.446000000011</v>
      </c>
      <c r="AB5" s="58">
        <f t="shared" ref="AB5:AC5" si="7">SUM(AB7:AB22)</f>
        <v>101592.67600000001</v>
      </c>
      <c r="AC5" s="58">
        <f t="shared" si="7"/>
        <v>86427</v>
      </c>
      <c r="AD5" s="58">
        <f t="shared" ref="AD5:AE5" si="8">SUM(AD7:AD22)</f>
        <v>46485.152999999998</v>
      </c>
      <c r="AE5" s="58">
        <f t="shared" si="8"/>
        <v>44490.125999999997</v>
      </c>
      <c r="AF5" s="58">
        <f t="shared" ref="AF5" si="9">SUM(AF7:AF22)</f>
        <v>88459.109000000011</v>
      </c>
      <c r="AG5" s="58">
        <f t="shared" ref="AG5:AI5" si="10">SUM(AG7:AG22)</f>
        <v>29957.196</v>
      </c>
      <c r="AH5" s="58">
        <f t="shared" si="10"/>
        <v>53374.313000000002</v>
      </c>
      <c r="AI5" s="58">
        <f t="shared" si="10"/>
        <v>91996.27399999999</v>
      </c>
      <c r="AJ5" s="58">
        <f t="shared" ref="AJ5:AK5" si="11">SUM(AJ7:AJ22)</f>
        <v>0</v>
      </c>
      <c r="AK5" s="58">
        <f t="shared" si="11"/>
        <v>210060.88800000001</v>
      </c>
    </row>
    <row r="6" spans="1:39" ht="12.75" customHeight="1">
      <c r="A6" s="6" t="s">
        <v>94</v>
      </c>
      <c r="J6" s="157"/>
      <c r="R6" s="20"/>
      <c r="T6" s="51"/>
    </row>
    <row r="7" spans="1:39" ht="12.75" customHeight="1">
      <c r="A7" s="1" t="s">
        <v>21</v>
      </c>
      <c r="B7" s="1">
        <v>12</v>
      </c>
      <c r="C7" s="1">
        <v>253</v>
      </c>
      <c r="D7" s="1">
        <v>50</v>
      </c>
      <c r="I7" s="1">
        <v>185.39599999999999</v>
      </c>
      <c r="J7" s="157">
        <v>155.57300000000001</v>
      </c>
      <c r="K7" s="1">
        <v>103.79600000000001</v>
      </c>
      <c r="L7" s="1">
        <v>70.313999999999993</v>
      </c>
      <c r="M7" s="1">
        <v>107.04</v>
      </c>
      <c r="N7" s="1">
        <v>142.011</v>
      </c>
      <c r="O7" s="1">
        <v>134.309</v>
      </c>
      <c r="R7" s="27">
        <v>142.80500000000001</v>
      </c>
      <c r="S7" s="1">
        <v>154.387</v>
      </c>
      <c r="T7" s="51">
        <v>3146.1990000000001</v>
      </c>
      <c r="U7" s="1">
        <v>3192.6179999999999</v>
      </c>
      <c r="V7" s="1">
        <v>3843.9960000000001</v>
      </c>
      <c r="W7" s="157">
        <v>6501.0469999999996</v>
      </c>
      <c r="X7" s="157">
        <v>11690.317999999999</v>
      </c>
      <c r="Y7" s="157">
        <v>12726.099</v>
      </c>
      <c r="Z7" s="157">
        <v>9018.1470000000008</v>
      </c>
      <c r="AA7" s="157">
        <v>4080.6770000000001</v>
      </c>
      <c r="AB7" s="157">
        <v>3093.5729999999999</v>
      </c>
      <c r="AC7" s="157">
        <v>2977</v>
      </c>
      <c r="AD7" s="1">
        <v>25348.763999999999</v>
      </c>
      <c r="AE7" s="1">
        <v>24438.946</v>
      </c>
      <c r="AF7" s="1">
        <v>865.65899999999999</v>
      </c>
      <c r="AG7" s="1">
        <v>909.97900000000004</v>
      </c>
      <c r="AH7" s="1">
        <v>279.75700000000001</v>
      </c>
      <c r="AI7" s="1">
        <v>1134.087</v>
      </c>
      <c r="AK7" s="1">
        <v>4831.6220000000003</v>
      </c>
    </row>
    <row r="8" spans="1:39" ht="12.75" customHeight="1">
      <c r="A8" s="1" t="s">
        <v>22</v>
      </c>
      <c r="B8" s="1">
        <v>32</v>
      </c>
      <c r="C8" s="1">
        <v>4</v>
      </c>
      <c r="D8" s="1">
        <v>1</v>
      </c>
      <c r="I8" s="1">
        <v>0</v>
      </c>
      <c r="J8" s="157">
        <v>0.878</v>
      </c>
      <c r="K8" s="1">
        <v>0.82100000000000006</v>
      </c>
      <c r="L8" s="1">
        <v>3.2229999999999999</v>
      </c>
      <c r="M8" s="1">
        <v>65.376999999999995</v>
      </c>
      <c r="N8" s="1">
        <v>102.592</v>
      </c>
      <c r="O8" s="1">
        <v>0</v>
      </c>
      <c r="R8" s="27">
        <v>0</v>
      </c>
      <c r="S8" s="1">
        <v>0</v>
      </c>
      <c r="T8" s="51">
        <v>1648.1389999999999</v>
      </c>
      <c r="U8" s="1">
        <v>1704.15</v>
      </c>
      <c r="V8" s="1">
        <v>1589.1849999999999</v>
      </c>
      <c r="W8" s="157">
        <v>2416.1489999999999</v>
      </c>
      <c r="X8" s="157">
        <v>4136.7290000000003</v>
      </c>
      <c r="Y8" s="157">
        <v>6538.9870000000001</v>
      </c>
      <c r="Z8" s="157">
        <v>5366.6750000000002</v>
      </c>
      <c r="AA8" s="157">
        <v>2691.6950000000002</v>
      </c>
      <c r="AB8" s="157">
        <v>2098.3339999999998</v>
      </c>
      <c r="AC8" s="157">
        <v>1966</v>
      </c>
      <c r="AD8" s="1">
        <v>-3104.07</v>
      </c>
      <c r="AE8" s="1">
        <v>-3400.8919999999998</v>
      </c>
      <c r="AF8" s="1">
        <v>1163.5360000000001</v>
      </c>
      <c r="AG8" s="1">
        <v>643.34299999999996</v>
      </c>
      <c r="AH8" s="1">
        <v>604.99800000000005</v>
      </c>
      <c r="AI8" s="1">
        <v>1369.5909999999999</v>
      </c>
      <c r="AK8" s="1">
        <v>2975.047</v>
      </c>
    </row>
    <row r="9" spans="1:39" ht="12.75" customHeight="1">
      <c r="A9" s="1" t="s">
        <v>23</v>
      </c>
      <c r="D9" s="1">
        <v>0</v>
      </c>
      <c r="J9" s="157">
        <v>0</v>
      </c>
      <c r="M9" s="1">
        <v>0</v>
      </c>
      <c r="N9" s="1">
        <v>0</v>
      </c>
      <c r="O9" s="1">
        <v>0</v>
      </c>
      <c r="R9" s="27">
        <v>0</v>
      </c>
      <c r="S9" s="38">
        <v>0</v>
      </c>
      <c r="T9" s="52">
        <v>0</v>
      </c>
      <c r="U9" s="38">
        <v>0</v>
      </c>
      <c r="V9" s="38">
        <v>0</v>
      </c>
      <c r="W9" s="157">
        <v>0</v>
      </c>
      <c r="X9" s="157">
        <v>0</v>
      </c>
      <c r="Y9" s="157">
        <v>0</v>
      </c>
      <c r="Z9" s="157">
        <v>0</v>
      </c>
      <c r="AA9" s="157">
        <v>0</v>
      </c>
      <c r="AB9" s="157">
        <v>0</v>
      </c>
      <c r="AC9" s="157">
        <v>0</v>
      </c>
      <c r="AD9" s="1">
        <v>1233.528</v>
      </c>
      <c r="AE9" s="1">
        <v>1347.5419999999999</v>
      </c>
      <c r="AF9" s="1">
        <v>0</v>
      </c>
      <c r="AG9" s="1">
        <v>0</v>
      </c>
      <c r="AH9" s="1">
        <v>0</v>
      </c>
      <c r="AI9" s="1">
        <v>0</v>
      </c>
      <c r="AK9" s="1">
        <v>0</v>
      </c>
    </row>
    <row r="10" spans="1:39" ht="12.75" customHeight="1">
      <c r="A10" s="1" t="s">
        <v>24</v>
      </c>
      <c r="B10" s="1">
        <v>58</v>
      </c>
      <c r="C10" s="1">
        <v>67</v>
      </c>
      <c r="D10" s="1">
        <v>249</v>
      </c>
      <c r="I10" s="1">
        <v>640.62099999999998</v>
      </c>
      <c r="J10" s="157">
        <v>514.21199999999999</v>
      </c>
      <c r="K10" s="1">
        <v>985.74699999999996</v>
      </c>
      <c r="L10" s="1">
        <v>611.47400000000005</v>
      </c>
      <c r="M10" s="1">
        <v>282.33999999999997</v>
      </c>
      <c r="N10" s="1">
        <v>122.395</v>
      </c>
      <c r="O10" s="1">
        <v>27.213999999999999</v>
      </c>
      <c r="R10" s="27">
        <v>0</v>
      </c>
      <c r="S10" s="1">
        <v>4.0010000000000003</v>
      </c>
      <c r="T10" s="51">
        <v>13659.191000000001</v>
      </c>
      <c r="U10" s="1">
        <v>13075.2</v>
      </c>
      <c r="V10" s="1">
        <v>8204.9419999999991</v>
      </c>
      <c r="W10" s="157">
        <v>11518.267</v>
      </c>
      <c r="X10" s="157">
        <v>18215.071</v>
      </c>
      <c r="Y10" s="157">
        <v>55819.749000000003</v>
      </c>
      <c r="Z10" s="157">
        <v>21665.934000000001</v>
      </c>
      <c r="AA10" s="157">
        <v>-12699.781999999999</v>
      </c>
      <c r="AB10" s="157">
        <v>53737.930999999997</v>
      </c>
      <c r="AC10" s="157">
        <v>47823</v>
      </c>
      <c r="AD10" s="1">
        <v>928.14499999999998</v>
      </c>
      <c r="AE10" s="1">
        <v>782.90599999999995</v>
      </c>
      <c r="AF10" s="1">
        <v>54238.47</v>
      </c>
      <c r="AG10" s="1">
        <v>10817.61</v>
      </c>
      <c r="AH10" s="1">
        <v>24539.725999999999</v>
      </c>
      <c r="AI10" s="1">
        <v>25285.453000000001</v>
      </c>
      <c r="AK10" s="1">
        <v>54189.053</v>
      </c>
    </row>
    <row r="11" spans="1:39" ht="12.75" customHeight="1">
      <c r="A11" s="1" t="s">
        <v>25</v>
      </c>
      <c r="B11" s="1">
        <v>21</v>
      </c>
      <c r="C11" s="1">
        <v>23</v>
      </c>
      <c r="D11" s="1">
        <v>19</v>
      </c>
      <c r="I11" s="1">
        <v>105.73099999999999</v>
      </c>
      <c r="J11" s="157">
        <v>103.883</v>
      </c>
      <c r="K11" s="1">
        <v>158.67400000000001</v>
      </c>
      <c r="L11" s="1">
        <v>74.462000000000003</v>
      </c>
      <c r="M11" s="1">
        <v>56.021999999999998</v>
      </c>
      <c r="N11" s="1">
        <v>67.816000000000003</v>
      </c>
      <c r="O11" s="1">
        <v>80.852999999999994</v>
      </c>
      <c r="R11" s="27">
        <v>144.494</v>
      </c>
      <c r="S11" s="1">
        <v>126.99299999999999</v>
      </c>
      <c r="T11" s="51">
        <v>1631.788</v>
      </c>
      <c r="U11" s="1">
        <v>717.52200000000005</v>
      </c>
      <c r="V11" s="1">
        <v>887.36900000000003</v>
      </c>
      <c r="W11" s="157">
        <v>1428.377</v>
      </c>
      <c r="X11" s="157">
        <v>3294.8739999999998</v>
      </c>
      <c r="Y11" s="157">
        <v>4104.7349999999997</v>
      </c>
      <c r="Z11" s="157">
        <v>2738.3380000000002</v>
      </c>
      <c r="AA11" s="157">
        <v>1050.739</v>
      </c>
      <c r="AB11" s="157">
        <v>1060.7929999999999</v>
      </c>
      <c r="AC11" s="157">
        <v>-5496</v>
      </c>
      <c r="AD11" s="1">
        <v>964.92899999999997</v>
      </c>
      <c r="AE11" s="1">
        <v>949.75300000000004</v>
      </c>
      <c r="AF11" s="1">
        <v>-3467.0059999999999</v>
      </c>
      <c r="AG11" s="1">
        <v>-3574.806</v>
      </c>
      <c r="AH11" s="1">
        <v>-3035.7620000000002</v>
      </c>
      <c r="AI11" s="1">
        <v>-174.60400000000001</v>
      </c>
      <c r="AK11" s="1">
        <v>2111.4780000000001</v>
      </c>
    </row>
    <row r="12" spans="1:39" ht="12.75" customHeight="1">
      <c r="A12" s="1" t="s">
        <v>26</v>
      </c>
      <c r="B12" s="1">
        <v>3</v>
      </c>
      <c r="C12" s="1">
        <v>41</v>
      </c>
      <c r="D12" s="1">
        <v>33</v>
      </c>
      <c r="I12" s="1">
        <v>133.053</v>
      </c>
      <c r="J12" s="157">
        <v>225.44900000000001</v>
      </c>
      <c r="K12" s="1">
        <v>222.07</v>
      </c>
      <c r="L12" s="1">
        <v>220.67599999999999</v>
      </c>
      <c r="M12" s="1">
        <v>221.00700000000001</v>
      </c>
      <c r="N12" s="1">
        <v>319.649</v>
      </c>
      <c r="O12" s="1">
        <v>374.54399999999998</v>
      </c>
      <c r="R12" s="20">
        <v>301.97199999999998</v>
      </c>
      <c r="S12" s="1">
        <v>281.16300000000001</v>
      </c>
      <c r="T12" s="51">
        <v>24.939</v>
      </c>
      <c r="U12" s="1">
        <v>27.56</v>
      </c>
      <c r="V12" s="1">
        <v>25.344000000000001</v>
      </c>
      <c r="W12" s="157">
        <v>971.57399999999996</v>
      </c>
      <c r="X12" s="157">
        <v>1079.4649999999999</v>
      </c>
      <c r="Y12" s="157">
        <v>1257.557</v>
      </c>
      <c r="Z12" s="157">
        <v>1603.0050000000001</v>
      </c>
      <c r="AA12" s="157">
        <v>1662.08</v>
      </c>
      <c r="AB12" s="157">
        <v>1005.524</v>
      </c>
      <c r="AC12" s="157">
        <v>1108</v>
      </c>
      <c r="AD12" s="1">
        <v>966.44299999999998</v>
      </c>
      <c r="AE12" s="1">
        <v>752.12199999999996</v>
      </c>
      <c r="AF12" s="1">
        <v>1388.5640000000001</v>
      </c>
      <c r="AG12" s="1">
        <v>1476.2829999999999</v>
      </c>
      <c r="AH12" s="1">
        <v>1668.0119999999999</v>
      </c>
      <c r="AI12" s="1">
        <v>1592.952</v>
      </c>
      <c r="AK12" s="1">
        <v>1867.5730000000001</v>
      </c>
    </row>
    <row r="13" spans="1:39" ht="12.75" customHeight="1">
      <c r="A13" s="1" t="s">
        <v>27</v>
      </c>
      <c r="B13" s="1">
        <v>2</v>
      </c>
      <c r="C13" s="1">
        <v>2</v>
      </c>
      <c r="D13" s="1">
        <v>2</v>
      </c>
      <c r="I13" s="1">
        <v>3.6</v>
      </c>
      <c r="J13" s="157">
        <v>3.3</v>
      </c>
      <c r="K13" s="1">
        <v>2.6</v>
      </c>
      <c r="L13" s="1">
        <v>3.0539999999999998</v>
      </c>
      <c r="M13" s="1">
        <v>0.6</v>
      </c>
      <c r="N13" s="1">
        <v>1.474</v>
      </c>
      <c r="O13" s="1">
        <v>6.2110000000000003</v>
      </c>
      <c r="R13" s="20">
        <v>55.845999999999997</v>
      </c>
      <c r="S13" s="1">
        <v>120.379</v>
      </c>
      <c r="T13" s="51">
        <v>412.43799999999999</v>
      </c>
      <c r="U13" s="1">
        <v>1093.0409999999999</v>
      </c>
      <c r="V13" s="1">
        <v>546.29200000000003</v>
      </c>
      <c r="W13" s="157">
        <v>1215.213</v>
      </c>
      <c r="X13" s="157">
        <v>2800.5039999999999</v>
      </c>
      <c r="Y13" s="157">
        <v>4360.348</v>
      </c>
      <c r="Z13" s="157">
        <v>3453.3809999999999</v>
      </c>
      <c r="AA13" s="157">
        <v>3468.9780000000001</v>
      </c>
      <c r="AB13" s="157">
        <v>1173.759</v>
      </c>
      <c r="AC13" s="157">
        <v>1158</v>
      </c>
      <c r="AD13" s="1">
        <v>1407.299</v>
      </c>
      <c r="AE13" s="1">
        <v>7215.6040000000003</v>
      </c>
      <c r="AF13" s="1">
        <v>849.01199999999994</v>
      </c>
      <c r="AG13" s="1">
        <v>308.24200000000002</v>
      </c>
      <c r="AH13" s="1">
        <v>451.762</v>
      </c>
      <c r="AI13" s="1">
        <v>713.31200000000001</v>
      </c>
      <c r="AK13" s="1">
        <v>1423.43</v>
      </c>
    </row>
    <row r="14" spans="1:39" ht="12.75" customHeight="1">
      <c r="A14" s="1" t="s">
        <v>28</v>
      </c>
      <c r="B14" s="1">
        <v>0</v>
      </c>
      <c r="C14" s="1">
        <v>0</v>
      </c>
      <c r="D14" s="1">
        <v>12</v>
      </c>
      <c r="I14" s="1">
        <v>0</v>
      </c>
      <c r="J14" s="157">
        <v>144.529</v>
      </c>
      <c r="K14" s="1">
        <v>131.27799999999999</v>
      </c>
      <c r="L14" s="1">
        <v>21.164000000000001</v>
      </c>
      <c r="M14" s="1">
        <v>90.254999999999995</v>
      </c>
      <c r="N14" s="1">
        <v>103.217</v>
      </c>
      <c r="O14" s="1">
        <v>89.37</v>
      </c>
      <c r="R14" s="20">
        <v>126.79300000000001</v>
      </c>
      <c r="S14" s="1">
        <v>143.13999999999999</v>
      </c>
      <c r="T14" s="51">
        <v>4058.8989999999999</v>
      </c>
      <c r="U14" s="1">
        <v>3334.1089999999999</v>
      </c>
      <c r="V14" s="1">
        <v>2693.2170000000001</v>
      </c>
      <c r="W14" s="157">
        <v>5144.2820000000002</v>
      </c>
      <c r="X14" s="157">
        <v>9282.607</v>
      </c>
      <c r="Y14" s="157">
        <v>12922.173000000001</v>
      </c>
      <c r="Z14" s="157">
        <v>11400.776</v>
      </c>
      <c r="AA14" s="157">
        <v>4291.4970000000003</v>
      </c>
      <c r="AB14" s="157">
        <v>1441.0650000000001</v>
      </c>
      <c r="AC14" s="157">
        <v>1421</v>
      </c>
      <c r="AD14" s="1">
        <v>1388.4590000000001</v>
      </c>
      <c r="AE14" s="1">
        <v>1676.508</v>
      </c>
      <c r="AF14" s="1">
        <v>874.90300000000002</v>
      </c>
      <c r="AG14" s="1">
        <v>982.03499999999997</v>
      </c>
      <c r="AH14" s="1">
        <v>1638.1590000000001</v>
      </c>
      <c r="AI14" s="1">
        <v>2026.6980000000001</v>
      </c>
      <c r="AK14" s="1">
        <v>6700.085</v>
      </c>
    </row>
    <row r="15" spans="1:39" ht="12.75" customHeight="1">
      <c r="A15" s="1" t="s">
        <v>29</v>
      </c>
      <c r="B15" s="1">
        <v>16</v>
      </c>
      <c r="C15" s="1">
        <v>45</v>
      </c>
      <c r="D15" s="1">
        <v>40</v>
      </c>
      <c r="I15" s="1">
        <v>14.393000000000001</v>
      </c>
      <c r="J15" s="157">
        <v>30.481000000000002</v>
      </c>
      <c r="K15" s="1">
        <v>0</v>
      </c>
      <c r="L15" s="1">
        <v>0</v>
      </c>
      <c r="M15" s="1">
        <v>60</v>
      </c>
      <c r="N15" s="1">
        <v>0</v>
      </c>
      <c r="O15" s="1">
        <v>15.7</v>
      </c>
      <c r="R15" s="20">
        <v>0</v>
      </c>
      <c r="S15" s="1">
        <v>0</v>
      </c>
      <c r="T15" s="51">
        <v>0</v>
      </c>
      <c r="U15" s="1">
        <v>2048.6779999999999</v>
      </c>
      <c r="V15" s="1">
        <v>2391.944</v>
      </c>
      <c r="W15" s="157">
        <v>3497.027</v>
      </c>
      <c r="X15" s="157">
        <v>5586.6350000000002</v>
      </c>
      <c r="Y15" s="157">
        <v>7929.1729999999998</v>
      </c>
      <c r="Z15" s="157">
        <v>7163.59</v>
      </c>
      <c r="AA15" s="157">
        <v>3444.6460000000002</v>
      </c>
      <c r="AB15" s="157">
        <v>2421.5010000000002</v>
      </c>
      <c r="AC15" s="157">
        <v>1395</v>
      </c>
      <c r="AD15" s="1">
        <v>1783.1289999999999</v>
      </c>
      <c r="AE15" s="1">
        <v>1064.3309999999999</v>
      </c>
      <c r="AF15" s="1">
        <v>745.92700000000002</v>
      </c>
      <c r="AG15" s="1">
        <v>826.77499999999998</v>
      </c>
      <c r="AH15" s="1">
        <v>866.82299999999998</v>
      </c>
      <c r="AI15" s="1">
        <v>1507.518</v>
      </c>
      <c r="AK15" s="1">
        <v>4020.6729999999998</v>
      </c>
    </row>
    <row r="16" spans="1:39" ht="12.75" customHeight="1">
      <c r="A16" s="1" t="s">
        <v>30</v>
      </c>
      <c r="B16" s="1">
        <v>109</v>
      </c>
      <c r="C16" s="1">
        <v>169</v>
      </c>
      <c r="D16" s="1">
        <v>158</v>
      </c>
      <c r="I16" s="1">
        <v>534.39400000000001</v>
      </c>
      <c r="J16" s="157">
        <v>481.464</v>
      </c>
      <c r="K16" s="1">
        <v>237.14099999999999</v>
      </c>
      <c r="L16" s="1">
        <v>543.904</v>
      </c>
      <c r="M16" s="1">
        <v>6399.1080000000002</v>
      </c>
      <c r="N16" s="1">
        <v>6883.527</v>
      </c>
      <c r="O16" s="1">
        <v>529.49699999999996</v>
      </c>
      <c r="R16" s="20">
        <v>1146.366</v>
      </c>
      <c r="S16" s="1">
        <v>803.09699999999998</v>
      </c>
      <c r="T16" s="1">
        <v>2753.384</v>
      </c>
      <c r="U16" s="1">
        <v>4381.7359999999999</v>
      </c>
      <c r="V16" s="1">
        <v>4935.6059999999998</v>
      </c>
      <c r="W16" s="157">
        <v>5328.6419999999998</v>
      </c>
      <c r="X16" s="157">
        <v>7711.4750000000004</v>
      </c>
      <c r="Y16" s="157">
        <v>15045.165000000001</v>
      </c>
      <c r="Z16" s="157">
        <v>4484.4369999999999</v>
      </c>
      <c r="AA16" s="157">
        <v>-3440.98</v>
      </c>
      <c r="AB16" s="157">
        <v>7968.4059999999999</v>
      </c>
      <c r="AC16" s="157">
        <v>12059</v>
      </c>
      <c r="AD16" s="1">
        <v>472.154</v>
      </c>
      <c r="AE16" s="1">
        <v>456.89400000000001</v>
      </c>
      <c r="AF16" s="1">
        <v>11512.964</v>
      </c>
      <c r="AG16" s="1">
        <v>2443.79</v>
      </c>
      <c r="AH16" s="1">
        <v>962.23500000000001</v>
      </c>
      <c r="AI16" s="1">
        <v>11269.598</v>
      </c>
      <c r="AK16" s="1">
        <v>11120.434999999999</v>
      </c>
    </row>
    <row r="17" spans="1:37" ht="12.75" customHeight="1">
      <c r="A17" s="1" t="s">
        <v>31</v>
      </c>
      <c r="B17" s="1">
        <v>7</v>
      </c>
      <c r="C17" s="1">
        <v>25</v>
      </c>
      <c r="D17" s="1">
        <v>8</v>
      </c>
      <c r="I17" s="1">
        <v>11.78</v>
      </c>
      <c r="J17" s="157">
        <v>14.355</v>
      </c>
      <c r="K17" s="1">
        <v>8.6229999999999993</v>
      </c>
      <c r="L17" s="1">
        <v>8.9659999999999993</v>
      </c>
      <c r="M17" s="1">
        <v>8.6750000000000007</v>
      </c>
      <c r="N17" s="1">
        <v>11.746</v>
      </c>
      <c r="O17" s="1">
        <v>5.9550000000000001</v>
      </c>
      <c r="R17" s="20">
        <v>6.0289999999999999</v>
      </c>
      <c r="S17" s="1">
        <v>6.8289999999999997</v>
      </c>
      <c r="T17" s="1">
        <v>2020.4749999999999</v>
      </c>
      <c r="U17" s="1">
        <v>1475.28</v>
      </c>
      <c r="V17" s="1">
        <v>915.44500000000005</v>
      </c>
      <c r="W17" s="157">
        <v>1711.1189999999999</v>
      </c>
      <c r="X17" s="157">
        <v>4186.8760000000002</v>
      </c>
      <c r="Y17" s="157">
        <v>8915.6</v>
      </c>
      <c r="Z17" s="157">
        <v>6877.22</v>
      </c>
      <c r="AA17" s="157">
        <v>2929.1779999999999</v>
      </c>
      <c r="AB17" s="157">
        <v>3937.7860000000001</v>
      </c>
      <c r="AC17" s="157">
        <v>2701</v>
      </c>
      <c r="AD17" s="1">
        <v>11827.918</v>
      </c>
      <c r="AE17" s="1">
        <v>6547.1379999999999</v>
      </c>
      <c r="AF17" s="1">
        <v>1309.607</v>
      </c>
      <c r="AG17" s="1">
        <v>233.541</v>
      </c>
      <c r="AH17" s="1">
        <v>8.7230000000000008</v>
      </c>
      <c r="AI17" s="1">
        <v>10473.002</v>
      </c>
      <c r="AK17" s="1">
        <v>4167.076</v>
      </c>
    </row>
    <row r="18" spans="1:37" ht="12.75" customHeight="1">
      <c r="A18" s="1" t="s">
        <v>32</v>
      </c>
      <c r="B18" s="1">
        <v>0</v>
      </c>
      <c r="C18" s="1">
        <v>0</v>
      </c>
      <c r="D18" s="1">
        <v>0</v>
      </c>
      <c r="I18" s="1">
        <v>0</v>
      </c>
      <c r="J18" s="157">
        <v>0.995</v>
      </c>
      <c r="K18" s="1">
        <v>2.3980000000000001</v>
      </c>
      <c r="L18" s="1">
        <v>0</v>
      </c>
      <c r="M18" s="1">
        <v>61.768999999999998</v>
      </c>
      <c r="N18" s="1">
        <v>35.901000000000003</v>
      </c>
      <c r="O18" s="1">
        <v>58.292000000000002</v>
      </c>
      <c r="R18" s="20">
        <v>45.387999999999998</v>
      </c>
      <c r="S18" s="1">
        <v>86.688000000000002</v>
      </c>
      <c r="T18" s="1">
        <v>2655.62</v>
      </c>
      <c r="U18" s="1">
        <v>2016.3109999999999</v>
      </c>
      <c r="V18" s="1">
        <v>1523.9480000000001</v>
      </c>
      <c r="W18" s="157">
        <v>3492.4059999999999</v>
      </c>
      <c r="X18" s="157">
        <v>7641.15</v>
      </c>
      <c r="Y18" s="157">
        <v>10391.712</v>
      </c>
      <c r="Z18" s="157">
        <v>7816.3140000000003</v>
      </c>
      <c r="AA18" s="157">
        <v>3379.3939999999998</v>
      </c>
      <c r="AB18" s="157">
        <v>2275.2130000000002</v>
      </c>
      <c r="AC18" s="157">
        <v>2224</v>
      </c>
      <c r="AD18" s="1">
        <v>3200.011</v>
      </c>
      <c r="AE18" s="1">
        <v>2572.29</v>
      </c>
      <c r="AF18" s="1">
        <v>1725.4380000000001</v>
      </c>
      <c r="AG18" s="1">
        <v>1793.712</v>
      </c>
      <c r="AH18" s="1">
        <v>2690.55</v>
      </c>
      <c r="AI18" s="1">
        <v>1127.576</v>
      </c>
      <c r="AK18" s="1">
        <v>7186.027</v>
      </c>
    </row>
    <row r="19" spans="1:37" ht="12.75" customHeight="1">
      <c r="A19" s="1" t="s">
        <v>33</v>
      </c>
      <c r="B19" s="1">
        <v>1</v>
      </c>
      <c r="C19" s="1">
        <v>0</v>
      </c>
      <c r="D19" s="1">
        <v>1</v>
      </c>
      <c r="I19" s="1">
        <v>10.035</v>
      </c>
      <c r="J19" s="157">
        <v>5.6509999999999998</v>
      </c>
      <c r="K19" s="1">
        <v>3.4969999999999999</v>
      </c>
      <c r="L19" s="1">
        <v>6.8840000000000003</v>
      </c>
      <c r="M19" s="1">
        <v>5.7080000000000002</v>
      </c>
      <c r="N19" s="1">
        <v>9.1850000000000005</v>
      </c>
      <c r="O19" s="1">
        <v>13.991</v>
      </c>
      <c r="R19" s="27">
        <v>16.449000000000002</v>
      </c>
      <c r="S19" s="1">
        <v>13.419</v>
      </c>
      <c r="T19" s="1">
        <v>1631.6120000000001</v>
      </c>
      <c r="U19" s="1">
        <v>1299.057</v>
      </c>
      <c r="V19" s="1">
        <v>1137.866</v>
      </c>
      <c r="W19" s="157">
        <v>2772.3209999999999</v>
      </c>
      <c r="X19" s="157">
        <v>5782.6570000000002</v>
      </c>
      <c r="Y19" s="157">
        <v>7378.8649999999998</v>
      </c>
      <c r="Z19" s="157">
        <v>6287.7139999999999</v>
      </c>
      <c r="AA19" s="157">
        <v>2683.1689999999999</v>
      </c>
      <c r="AB19" s="157">
        <v>854.58500000000004</v>
      </c>
      <c r="AC19" s="157">
        <v>643</v>
      </c>
      <c r="AD19" s="1">
        <v>68.444000000000003</v>
      </c>
      <c r="AE19" s="1">
        <v>86.983999999999995</v>
      </c>
      <c r="AF19" s="1">
        <v>360.02100000000002</v>
      </c>
      <c r="AG19" s="1">
        <v>322.89</v>
      </c>
      <c r="AH19" s="1">
        <v>723.21100000000001</v>
      </c>
      <c r="AI19" s="1">
        <v>1719.3689999999999</v>
      </c>
      <c r="AK19" s="1">
        <v>8616.7479999999996</v>
      </c>
    </row>
    <row r="20" spans="1:37" ht="12.75" customHeight="1">
      <c r="A20" s="1" t="s">
        <v>34</v>
      </c>
      <c r="B20" s="1">
        <v>802</v>
      </c>
      <c r="C20" s="1">
        <v>954</v>
      </c>
      <c r="D20" s="1">
        <v>924</v>
      </c>
      <c r="I20" s="1">
        <v>1131.33</v>
      </c>
      <c r="J20" s="157">
        <v>1437.8</v>
      </c>
      <c r="K20" s="1">
        <v>1486.597</v>
      </c>
      <c r="L20" s="1">
        <v>1590.1010000000001</v>
      </c>
      <c r="M20" s="1">
        <v>1331.556</v>
      </c>
      <c r="N20" s="1">
        <v>1782.721</v>
      </c>
      <c r="O20" s="1">
        <v>2705.5349999999999</v>
      </c>
      <c r="R20" s="20">
        <v>3067.7289999999998</v>
      </c>
      <c r="S20" s="1">
        <v>4035.5590000000002</v>
      </c>
      <c r="T20" s="1">
        <v>27318.476999999999</v>
      </c>
      <c r="U20" s="1">
        <v>22828.708999999999</v>
      </c>
      <c r="V20" s="1">
        <v>22153.65</v>
      </c>
      <c r="W20" s="157">
        <v>33336.228999999999</v>
      </c>
      <c r="X20" s="157">
        <v>69768.231</v>
      </c>
      <c r="Y20" s="157">
        <v>104253.92600000001</v>
      </c>
      <c r="Z20" s="157">
        <v>79286.77</v>
      </c>
      <c r="AA20" s="157">
        <v>35491.633000000002</v>
      </c>
      <c r="AB20" s="157">
        <v>17306.655999999999</v>
      </c>
      <c r="AC20" s="157">
        <v>13597</v>
      </c>
      <c r="AD20" s="1">
        <v>0</v>
      </c>
      <c r="AE20" s="1">
        <v>0</v>
      </c>
      <c r="AF20" s="1">
        <v>15726.22</v>
      </c>
      <c r="AG20" s="1">
        <v>11764.977999999999</v>
      </c>
      <c r="AH20" s="1">
        <v>20359.024000000001</v>
      </c>
      <c r="AI20" s="1">
        <v>32327.155999999999</v>
      </c>
      <c r="AK20" s="1">
        <v>93924.292000000001</v>
      </c>
    </row>
    <row r="21" spans="1:37" ht="12.75" customHeight="1">
      <c r="A21" s="1" t="s">
        <v>35</v>
      </c>
      <c r="B21" s="1">
        <v>7</v>
      </c>
      <c r="C21" s="1">
        <v>7</v>
      </c>
      <c r="D21" s="1">
        <v>9</v>
      </c>
      <c r="I21" s="1">
        <v>15.032</v>
      </c>
      <c r="J21" s="157">
        <v>12.988</v>
      </c>
      <c r="K21" s="1">
        <v>17.186</v>
      </c>
      <c r="L21" s="1">
        <v>18.640999999999998</v>
      </c>
      <c r="M21" s="1">
        <v>12.58</v>
      </c>
      <c r="N21" s="1">
        <v>10.903</v>
      </c>
      <c r="O21" s="1">
        <v>15.148</v>
      </c>
      <c r="R21" s="20">
        <v>13.542999999999999</v>
      </c>
      <c r="S21" s="1">
        <v>14.404</v>
      </c>
      <c r="T21" s="1">
        <v>1569.4369999999999</v>
      </c>
      <c r="U21" s="1">
        <v>1250.5930000000001</v>
      </c>
      <c r="V21" s="1">
        <v>1233.133</v>
      </c>
      <c r="W21" s="157">
        <v>1178.9949999999999</v>
      </c>
      <c r="X21" s="157">
        <v>2176.48</v>
      </c>
      <c r="Y21" s="157">
        <v>5368.8220000000001</v>
      </c>
      <c r="Z21" s="157">
        <v>6519.5950000000003</v>
      </c>
      <c r="AA21" s="157">
        <v>5255.7960000000003</v>
      </c>
      <c r="AB21" s="157">
        <v>3100.7550000000001</v>
      </c>
      <c r="AC21" s="157">
        <v>2738</v>
      </c>
      <c r="AD21" s="1">
        <v>0</v>
      </c>
      <c r="AE21" s="1">
        <v>0</v>
      </c>
      <c r="AF21" s="1">
        <v>1077.0429999999999</v>
      </c>
      <c r="AG21" s="1">
        <v>932.67600000000004</v>
      </c>
      <c r="AH21" s="1">
        <v>1404.6959999999999</v>
      </c>
      <c r="AI21" s="1">
        <v>1027.117</v>
      </c>
      <c r="AK21" s="1">
        <v>5181.6400000000003</v>
      </c>
    </row>
    <row r="22" spans="1:37" ht="12.75" customHeight="1">
      <c r="A22" s="30" t="s">
        <v>36</v>
      </c>
      <c r="B22" s="30">
        <v>0</v>
      </c>
      <c r="C22" s="30">
        <v>0</v>
      </c>
      <c r="D22" s="30">
        <v>0</v>
      </c>
      <c r="E22" s="30"/>
      <c r="F22" s="30"/>
      <c r="G22" s="30"/>
      <c r="H22" s="30"/>
      <c r="I22" s="30">
        <v>0</v>
      </c>
      <c r="J22" s="158">
        <v>0</v>
      </c>
      <c r="K22" s="30">
        <v>141</v>
      </c>
      <c r="L22" s="30">
        <v>0</v>
      </c>
      <c r="M22" s="30">
        <v>0</v>
      </c>
      <c r="N22" s="30">
        <v>0</v>
      </c>
      <c r="O22" s="30">
        <v>0</v>
      </c>
      <c r="P22" s="30"/>
      <c r="Q22" s="30"/>
      <c r="R22" s="30">
        <v>0</v>
      </c>
      <c r="S22" s="30">
        <v>105.319</v>
      </c>
      <c r="T22" s="30">
        <v>300.26299999999998</v>
      </c>
      <c r="U22" s="30">
        <v>322.98399999999998</v>
      </c>
      <c r="V22" s="30">
        <v>41.154000000000003</v>
      </c>
      <c r="W22" s="158">
        <v>359.15600000000001</v>
      </c>
      <c r="X22" s="158">
        <v>808.70100000000002</v>
      </c>
      <c r="Y22" s="158">
        <v>1496.4929999999999</v>
      </c>
      <c r="Z22" s="158">
        <v>1186.9680000000001</v>
      </c>
      <c r="AA22" s="158">
        <v>504.726</v>
      </c>
      <c r="AB22" s="158">
        <v>116.795</v>
      </c>
      <c r="AC22" s="158">
        <v>113</v>
      </c>
      <c r="AD22" s="30">
        <v>0</v>
      </c>
      <c r="AE22" s="30">
        <v>0</v>
      </c>
      <c r="AF22" s="30">
        <v>88.751000000000005</v>
      </c>
      <c r="AG22" s="30">
        <v>76.147999999999996</v>
      </c>
      <c r="AH22" s="30">
        <v>212.399</v>
      </c>
      <c r="AI22" s="30">
        <v>597.44899999999996</v>
      </c>
      <c r="AJ22" s="30"/>
      <c r="AK22" s="30">
        <v>1745.7090000000001</v>
      </c>
    </row>
    <row r="23" spans="1:37" ht="12.75" customHeight="1">
      <c r="A23" s="6" t="s">
        <v>37</v>
      </c>
      <c r="B23" s="58">
        <f>SUM(B25:B37)</f>
        <v>0</v>
      </c>
      <c r="C23" s="58">
        <f t="shared" ref="C23:AK23" si="12">SUM(C25:C37)</f>
        <v>0</v>
      </c>
      <c r="D23" s="58">
        <f t="shared" si="12"/>
        <v>0</v>
      </c>
      <c r="E23" s="58">
        <f t="shared" si="12"/>
        <v>0</v>
      </c>
      <c r="F23" s="58">
        <f t="shared" si="12"/>
        <v>0</v>
      </c>
      <c r="G23" s="58">
        <f t="shared" si="12"/>
        <v>0</v>
      </c>
      <c r="H23" s="58">
        <f t="shared" si="12"/>
        <v>0</v>
      </c>
      <c r="I23" s="58">
        <f t="shared" si="12"/>
        <v>0</v>
      </c>
      <c r="J23" s="58">
        <f t="shared" si="12"/>
        <v>7028.6230000000005</v>
      </c>
      <c r="K23" s="58">
        <f t="shared" si="12"/>
        <v>0</v>
      </c>
      <c r="L23" s="58">
        <f t="shared" si="12"/>
        <v>0</v>
      </c>
      <c r="M23" s="58">
        <f t="shared" si="12"/>
        <v>9477.107</v>
      </c>
      <c r="N23" s="58">
        <f t="shared" si="12"/>
        <v>0</v>
      </c>
      <c r="O23" s="58">
        <f t="shared" si="12"/>
        <v>8689.8261799999982</v>
      </c>
      <c r="P23" s="58">
        <f t="shared" si="12"/>
        <v>0</v>
      </c>
      <c r="Q23" s="58">
        <f t="shared" si="12"/>
        <v>0</v>
      </c>
      <c r="R23" s="58">
        <f t="shared" si="12"/>
        <v>10415.861000000001</v>
      </c>
      <c r="S23" s="58">
        <f t="shared" si="12"/>
        <v>12699.14</v>
      </c>
      <c r="T23" s="58">
        <f t="shared" si="12"/>
        <v>65518.197</v>
      </c>
      <c r="U23" s="58">
        <f t="shared" si="12"/>
        <v>72506.692999999999</v>
      </c>
      <c r="V23" s="58">
        <f t="shared" si="12"/>
        <v>73045.187999999995</v>
      </c>
      <c r="W23" s="58">
        <f t="shared" si="12"/>
        <v>186508.31600000002</v>
      </c>
      <c r="X23" s="58">
        <f t="shared" si="12"/>
        <v>262128.62800000003</v>
      </c>
      <c r="Y23" s="58">
        <f t="shared" si="12"/>
        <v>359681.55399999995</v>
      </c>
      <c r="Z23" s="58">
        <f t="shared" si="12"/>
        <v>334861.99000000011</v>
      </c>
      <c r="AA23" s="58">
        <f t="shared" si="12"/>
        <v>231912.28600000002</v>
      </c>
      <c r="AB23" s="58">
        <f t="shared" si="12"/>
        <v>200461.83900000001</v>
      </c>
      <c r="AC23" s="58">
        <f t="shared" si="12"/>
        <v>280540</v>
      </c>
      <c r="AD23" s="58">
        <f t="shared" si="12"/>
        <v>77517.070999999996</v>
      </c>
      <c r="AE23" s="58">
        <f t="shared" si="12"/>
        <v>115830.10399999999</v>
      </c>
      <c r="AF23" s="58">
        <f t="shared" si="12"/>
        <v>160266.51</v>
      </c>
      <c r="AG23" s="58">
        <f t="shared" si="12"/>
        <v>54149.114000000001</v>
      </c>
      <c r="AH23" s="58">
        <f t="shared" si="12"/>
        <v>63792.652999999984</v>
      </c>
      <c r="AI23" s="58">
        <f t="shared" si="12"/>
        <v>127353.052</v>
      </c>
      <c r="AJ23" s="58">
        <f t="shared" si="12"/>
        <v>0</v>
      </c>
      <c r="AK23" s="58">
        <f t="shared" si="12"/>
        <v>242841.66899999999</v>
      </c>
    </row>
    <row r="24" spans="1:37" ht="12.75" customHeight="1">
      <c r="A24" s="6" t="s">
        <v>94</v>
      </c>
    </row>
    <row r="25" spans="1:37" ht="12.75" customHeight="1">
      <c r="A25" s="1" t="s">
        <v>38</v>
      </c>
      <c r="J25" s="157">
        <v>0</v>
      </c>
      <c r="M25" s="1">
        <v>1</v>
      </c>
      <c r="O25" s="1">
        <v>15</v>
      </c>
      <c r="R25" s="20">
        <v>15.808999999999999</v>
      </c>
      <c r="S25" s="1">
        <v>13.191000000000001</v>
      </c>
      <c r="T25" s="1">
        <v>44.054000000000002</v>
      </c>
      <c r="U25" s="1">
        <v>6.7679999999999998</v>
      </c>
      <c r="V25" s="1">
        <v>17.248999999999999</v>
      </c>
      <c r="W25" s="157">
        <v>0</v>
      </c>
      <c r="X25" s="157">
        <v>62.206000000000003</v>
      </c>
      <c r="Y25" s="157">
        <v>39.061</v>
      </c>
      <c r="Z25" s="157">
        <v>19.364999999999998</v>
      </c>
      <c r="AA25" s="157">
        <v>1.9430000000000001</v>
      </c>
      <c r="AB25" s="157">
        <v>0.34200000000000003</v>
      </c>
      <c r="AC25" s="157">
        <v>0</v>
      </c>
      <c r="AD25" s="1">
        <v>-10.02</v>
      </c>
      <c r="AE25" s="1">
        <v>246.27500000000001</v>
      </c>
      <c r="AF25" s="1">
        <v>0</v>
      </c>
      <c r="AG25" s="1">
        <v>0</v>
      </c>
      <c r="AH25" s="1">
        <v>-21.247</v>
      </c>
      <c r="AI25" s="1">
        <v>487.779</v>
      </c>
      <c r="AK25" s="1">
        <v>370.81400000000002</v>
      </c>
    </row>
    <row r="26" spans="1:37" ht="12.75" customHeight="1">
      <c r="A26" s="1" t="s">
        <v>39</v>
      </c>
      <c r="J26" s="157">
        <v>208.173</v>
      </c>
      <c r="M26" s="1">
        <v>275.90800000000002</v>
      </c>
      <c r="O26" s="1">
        <v>237.54</v>
      </c>
      <c r="R26" s="20">
        <v>307.05799999999999</v>
      </c>
      <c r="S26" s="1">
        <v>100</v>
      </c>
      <c r="T26" s="1">
        <v>7074.13</v>
      </c>
      <c r="U26" s="1">
        <v>1543.559</v>
      </c>
      <c r="V26" s="1">
        <v>2400.9029999999998</v>
      </c>
      <c r="W26" s="157">
        <v>3952.623</v>
      </c>
      <c r="X26" s="157">
        <v>7821.3119999999999</v>
      </c>
      <c r="Y26" s="157">
        <v>14498.272000000001</v>
      </c>
      <c r="Z26" s="157">
        <v>12602.165000000001</v>
      </c>
      <c r="AA26" s="157">
        <v>3746.8649999999998</v>
      </c>
      <c r="AB26" s="157">
        <v>2426.1979999999999</v>
      </c>
      <c r="AC26" s="157">
        <v>2004</v>
      </c>
      <c r="AD26" s="1">
        <v>1417.3409999999999</v>
      </c>
      <c r="AE26" s="1">
        <v>2251.9580000000001</v>
      </c>
      <c r="AF26" s="1">
        <v>994.13300000000004</v>
      </c>
      <c r="AG26" s="1">
        <v>419.072</v>
      </c>
      <c r="AH26" s="1">
        <v>5005.5039999999999</v>
      </c>
      <c r="AI26" s="1">
        <v>1304.6859999999999</v>
      </c>
      <c r="AK26" s="1">
        <v>10788.487999999999</v>
      </c>
    </row>
    <row r="27" spans="1:37" ht="12.75" customHeight="1">
      <c r="A27" s="1" t="s">
        <v>40</v>
      </c>
      <c r="J27" s="157">
        <v>255.18600000000001</v>
      </c>
      <c r="M27" s="1">
        <v>3099.578</v>
      </c>
      <c r="O27" s="1">
        <v>1818.6924099999999</v>
      </c>
      <c r="R27" s="20">
        <v>2810.623</v>
      </c>
      <c r="S27" s="1">
        <v>4416.03</v>
      </c>
      <c r="T27" s="1">
        <v>37744.875999999997</v>
      </c>
      <c r="U27" s="1">
        <v>46995.108</v>
      </c>
      <c r="V27" s="1">
        <v>27604.3</v>
      </c>
      <c r="W27" s="157">
        <v>111252.124</v>
      </c>
      <c r="X27" s="157">
        <v>164617.39000000001</v>
      </c>
      <c r="Y27" s="157">
        <v>212053.541</v>
      </c>
      <c r="Z27" s="157">
        <v>264743.06800000003</v>
      </c>
      <c r="AA27" s="157">
        <v>250906.587</v>
      </c>
      <c r="AB27" s="157">
        <v>110676.43</v>
      </c>
      <c r="AC27" s="157">
        <v>165272</v>
      </c>
      <c r="AD27" s="1">
        <v>42611.173999999999</v>
      </c>
      <c r="AE27" s="1">
        <v>36127.864000000001</v>
      </c>
      <c r="AF27" s="1">
        <v>53084.288</v>
      </c>
      <c r="AG27" s="1">
        <v>28645.212</v>
      </c>
      <c r="AH27" s="1">
        <v>36546.760999999999</v>
      </c>
      <c r="AI27" s="1">
        <v>78811.796000000002</v>
      </c>
      <c r="AK27" s="1">
        <v>140753.67600000001</v>
      </c>
    </row>
    <row r="28" spans="1:37" ht="12.75" customHeight="1">
      <c r="A28" s="1" t="s">
        <v>41</v>
      </c>
      <c r="J28" s="157">
        <v>0</v>
      </c>
      <c r="M28" s="1">
        <v>0</v>
      </c>
      <c r="O28" s="1">
        <v>0</v>
      </c>
      <c r="R28" s="20">
        <v>0</v>
      </c>
      <c r="S28" s="1">
        <v>0</v>
      </c>
      <c r="T28" s="1">
        <v>1972.3810000000001</v>
      </c>
      <c r="U28" s="1">
        <v>2239.9780000000001</v>
      </c>
      <c r="V28" s="1">
        <v>1745</v>
      </c>
      <c r="W28" s="157">
        <v>2220.1439999999998</v>
      </c>
      <c r="X28" s="157">
        <v>4895.518</v>
      </c>
      <c r="Y28" s="157">
        <v>6970.4539999999997</v>
      </c>
      <c r="Z28" s="157">
        <v>7808.91</v>
      </c>
      <c r="AA28" s="157">
        <v>5243.625</v>
      </c>
      <c r="AB28" s="157">
        <v>4992.6980000000003</v>
      </c>
      <c r="AC28" s="157">
        <v>5511</v>
      </c>
      <c r="AD28" s="1">
        <v>3833.826</v>
      </c>
      <c r="AE28" s="1">
        <v>490.06099999999998</v>
      </c>
      <c r="AF28" s="1">
        <v>1260.152</v>
      </c>
      <c r="AG28" s="1">
        <v>1363.39</v>
      </c>
      <c r="AH28" s="1">
        <v>3213.9430000000002</v>
      </c>
      <c r="AI28" s="1">
        <v>2340.0569999999998</v>
      </c>
      <c r="AK28" s="1">
        <v>7837.2250000000004</v>
      </c>
    </row>
    <row r="29" spans="1:37" ht="12.75" customHeight="1">
      <c r="A29" s="1" t="s">
        <v>42</v>
      </c>
      <c r="J29" s="157">
        <v>8.5389999999999997</v>
      </c>
      <c r="M29" s="1">
        <v>10.314</v>
      </c>
      <c r="O29" s="1">
        <v>12.682</v>
      </c>
      <c r="R29" s="20">
        <v>25.661000000000001</v>
      </c>
      <c r="S29" s="1">
        <v>27.968</v>
      </c>
      <c r="T29" s="1">
        <v>549.35699999999997</v>
      </c>
      <c r="U29" s="1">
        <v>475.19099999999997</v>
      </c>
      <c r="V29" s="1">
        <v>310.036</v>
      </c>
      <c r="W29" s="157">
        <v>447.72899999999998</v>
      </c>
      <c r="X29" s="157">
        <v>685.32299999999998</v>
      </c>
      <c r="Y29" s="157">
        <v>1101.93</v>
      </c>
      <c r="Z29" s="157">
        <v>1235.8589999999999</v>
      </c>
      <c r="AA29" s="157">
        <v>848.96900000000005</v>
      </c>
      <c r="AB29" s="157">
        <v>432.96800000000002</v>
      </c>
      <c r="AC29" s="157">
        <v>376</v>
      </c>
      <c r="AD29" s="1">
        <v>300.13799999999998</v>
      </c>
      <c r="AE29" s="1">
        <v>249.34899999999999</v>
      </c>
      <c r="AF29" s="1">
        <v>188.166</v>
      </c>
      <c r="AG29" s="1">
        <v>99.006</v>
      </c>
      <c r="AH29" s="1">
        <v>-579.70399999999995</v>
      </c>
      <c r="AI29" s="1">
        <v>-36.201000000000001</v>
      </c>
      <c r="AK29" s="1">
        <v>1445.4110000000001</v>
      </c>
    </row>
    <row r="30" spans="1:37" ht="12.75" customHeight="1">
      <c r="A30" s="1" t="s">
        <v>43</v>
      </c>
      <c r="J30" s="157">
        <v>0</v>
      </c>
      <c r="M30" s="1">
        <v>0</v>
      </c>
      <c r="O30" s="1">
        <v>0</v>
      </c>
      <c r="R30" s="20">
        <v>0</v>
      </c>
      <c r="S30" s="1">
        <v>0</v>
      </c>
      <c r="T30" s="1">
        <v>10.446</v>
      </c>
      <c r="U30" s="1">
        <v>-439.04700000000003</v>
      </c>
      <c r="V30" s="1">
        <v>183.435</v>
      </c>
      <c r="W30" s="157">
        <v>196.357</v>
      </c>
      <c r="X30" s="157">
        <v>304.90499999999997</v>
      </c>
      <c r="Y30" s="157">
        <v>562.19100000000003</v>
      </c>
      <c r="Z30" s="157">
        <v>562.08100000000002</v>
      </c>
      <c r="AA30" s="157">
        <v>221.86699999999999</v>
      </c>
      <c r="AB30" s="157">
        <v>57.353999999999999</v>
      </c>
      <c r="AC30" s="157">
        <v>74</v>
      </c>
      <c r="AD30" s="1">
        <v>155.762</v>
      </c>
      <c r="AE30" s="1">
        <v>223.00800000000001</v>
      </c>
      <c r="AF30" s="1">
        <v>216.798</v>
      </c>
      <c r="AG30" s="1">
        <v>195.559</v>
      </c>
      <c r="AH30" s="1">
        <v>612.89499999999998</v>
      </c>
      <c r="AI30" s="1">
        <v>312.88900000000001</v>
      </c>
      <c r="AK30" s="1">
        <v>3573.3820000000001</v>
      </c>
    </row>
    <row r="31" spans="1:37" ht="12.75" customHeight="1">
      <c r="A31" s="1" t="s">
        <v>44</v>
      </c>
      <c r="J31" s="157">
        <v>98.722999999999999</v>
      </c>
      <c r="M31" s="1">
        <v>141.512</v>
      </c>
      <c r="O31" s="1">
        <v>218.691</v>
      </c>
      <c r="R31" s="27">
        <v>319.11399999999998</v>
      </c>
      <c r="S31" s="1">
        <v>365.32</v>
      </c>
      <c r="T31" s="1">
        <v>542.596</v>
      </c>
      <c r="U31" s="1">
        <v>429.822</v>
      </c>
      <c r="V31" s="1">
        <v>342.50700000000001</v>
      </c>
      <c r="W31" s="157">
        <v>611.21199999999999</v>
      </c>
      <c r="X31" s="157">
        <v>2112.8220000000001</v>
      </c>
      <c r="Y31" s="157">
        <v>2403.42</v>
      </c>
      <c r="Z31" s="157">
        <v>1057.058</v>
      </c>
      <c r="AA31" s="157">
        <v>421.15300000000002</v>
      </c>
      <c r="AB31" s="157">
        <v>1080.857</v>
      </c>
      <c r="AC31" s="157">
        <v>472</v>
      </c>
      <c r="AD31" s="1">
        <v>939.10799999999995</v>
      </c>
      <c r="AE31" s="1">
        <v>779.51499999999999</v>
      </c>
      <c r="AF31" s="1">
        <v>1311.5619999999999</v>
      </c>
      <c r="AG31" s="1">
        <v>409.11399999999998</v>
      </c>
      <c r="AH31" s="1">
        <v>548.37800000000004</v>
      </c>
      <c r="AI31" s="1">
        <v>1486.174</v>
      </c>
      <c r="AK31" s="1">
        <v>1473.482</v>
      </c>
    </row>
    <row r="32" spans="1:37" ht="12.75" customHeight="1">
      <c r="A32" s="1" t="s">
        <v>45</v>
      </c>
      <c r="J32" s="157">
        <v>289.92599999999999</v>
      </c>
      <c r="M32" s="1">
        <v>103.33199999999999</v>
      </c>
      <c r="O32" s="1">
        <v>162</v>
      </c>
      <c r="R32" s="27">
        <v>236</v>
      </c>
      <c r="S32" s="1">
        <v>227</v>
      </c>
      <c r="T32" s="1">
        <v>124</v>
      </c>
      <c r="U32" s="1">
        <v>1867</v>
      </c>
      <c r="V32" s="1">
        <v>1961</v>
      </c>
      <c r="W32" s="157">
        <v>1849</v>
      </c>
      <c r="X32" s="157">
        <v>2173</v>
      </c>
      <c r="Y32" s="157">
        <v>3000</v>
      </c>
      <c r="Z32" s="157">
        <v>547</v>
      </c>
      <c r="AA32" s="157">
        <v>-8411</v>
      </c>
      <c r="AB32" s="157">
        <v>8673</v>
      </c>
      <c r="AC32" s="157">
        <v>9067</v>
      </c>
      <c r="AD32" s="1">
        <v>2380</v>
      </c>
      <c r="AE32" s="1">
        <v>7819</v>
      </c>
      <c r="AF32" s="1">
        <v>10959</v>
      </c>
      <c r="AG32" s="1">
        <v>1788</v>
      </c>
      <c r="AH32" s="1">
        <v>174</v>
      </c>
      <c r="AI32" s="1">
        <v>8351</v>
      </c>
      <c r="AK32" s="1">
        <v>9026</v>
      </c>
    </row>
    <row r="33" spans="1:37" ht="12.75" customHeight="1">
      <c r="A33" s="1" t="s">
        <v>46</v>
      </c>
      <c r="J33" s="157">
        <v>5087.3940000000002</v>
      </c>
      <c r="M33" s="1">
        <v>5046.192</v>
      </c>
      <c r="O33" s="1">
        <v>5211.2947699999995</v>
      </c>
      <c r="R33" s="27">
        <v>5590.3639999999996</v>
      </c>
      <c r="S33" s="1">
        <v>6094.24</v>
      </c>
      <c r="T33" s="1">
        <v>8801.6290000000008</v>
      </c>
      <c r="U33" s="1">
        <v>6334.6120000000001</v>
      </c>
      <c r="V33" s="1">
        <v>18485.079000000002</v>
      </c>
      <c r="W33" s="157">
        <v>14115.513999999999</v>
      </c>
      <c r="X33" s="157">
        <v>18498.844000000001</v>
      </c>
      <c r="Y33" s="157">
        <v>36369.906999999999</v>
      </c>
      <c r="Z33" s="157">
        <v>7160.4160000000002</v>
      </c>
      <c r="AA33" s="157">
        <v>-31505.850999999999</v>
      </c>
      <c r="AB33" s="157">
        <v>26811.510999999999</v>
      </c>
      <c r="AC33" s="157">
        <v>44534</v>
      </c>
      <c r="AD33" s="1">
        <v>11733.186</v>
      </c>
      <c r="AE33" s="1">
        <v>32002.602999999999</v>
      </c>
      <c r="AF33" s="1">
        <v>41063.150999999998</v>
      </c>
      <c r="AG33" s="1">
        <v>13179.081</v>
      </c>
      <c r="AH33" s="1">
        <v>5773.6130000000003</v>
      </c>
      <c r="AI33" s="1">
        <v>13608.587</v>
      </c>
      <c r="AK33" s="1">
        <v>17395.614000000001</v>
      </c>
    </row>
    <row r="34" spans="1:37" ht="12.75" customHeight="1">
      <c r="A34" s="1" t="s">
        <v>47</v>
      </c>
      <c r="J34" s="157">
        <v>17.341999999999999</v>
      </c>
      <c r="M34" s="1">
        <v>6.806</v>
      </c>
      <c r="O34" s="1">
        <v>9.718</v>
      </c>
      <c r="R34" s="20">
        <v>98.942999999999998</v>
      </c>
      <c r="S34" s="1">
        <v>132.636</v>
      </c>
      <c r="T34" s="1">
        <v>7383.6610000000001</v>
      </c>
      <c r="U34" s="1">
        <v>9529.7180000000008</v>
      </c>
      <c r="V34" s="1">
        <v>12264.138000000001</v>
      </c>
      <c r="W34" s="157">
        <v>41572.103999999999</v>
      </c>
      <c r="X34" s="157">
        <v>43110.764000000003</v>
      </c>
      <c r="Y34" s="157">
        <v>53304.627999999997</v>
      </c>
      <c r="Z34" s="157">
        <v>18564.309000000001</v>
      </c>
      <c r="AA34" s="157">
        <v>3093.9609999999998</v>
      </c>
      <c r="AB34" s="157">
        <v>31646.31</v>
      </c>
      <c r="AC34" s="157">
        <v>37241</v>
      </c>
      <c r="AD34" s="1">
        <v>8645.9539999999997</v>
      </c>
      <c r="AE34" s="1">
        <v>23895.931</v>
      </c>
      <c r="AF34" s="1">
        <v>37133.373</v>
      </c>
      <c r="AG34" s="1">
        <v>2508.4270000000001</v>
      </c>
      <c r="AH34" s="1">
        <v>3310.47</v>
      </c>
      <c r="AI34" s="1">
        <v>4865.2439999999997</v>
      </c>
      <c r="AK34" s="1">
        <v>20602.442999999999</v>
      </c>
    </row>
    <row r="35" spans="1:37" ht="12.75" customHeight="1">
      <c r="A35" s="1" t="s">
        <v>48</v>
      </c>
      <c r="J35" s="157">
        <v>289.66800000000001</v>
      </c>
      <c r="M35" s="1">
        <v>561.89800000000002</v>
      </c>
      <c r="O35" s="1">
        <v>642.80600000000004</v>
      </c>
      <c r="R35" s="20">
        <v>752.85</v>
      </c>
      <c r="S35" s="1">
        <v>1100.0250000000001</v>
      </c>
      <c r="T35" s="1">
        <v>912.94600000000003</v>
      </c>
      <c r="U35" s="1">
        <v>2339.7840000000001</v>
      </c>
      <c r="V35" s="1">
        <v>3337.9450000000002</v>
      </c>
      <c r="W35" s="157">
        <v>3664.9609999999998</v>
      </c>
      <c r="X35" s="157">
        <v>4184.4319999999998</v>
      </c>
      <c r="Y35" s="157">
        <v>8230.7350000000006</v>
      </c>
      <c r="Z35" s="157">
        <v>4630.4030000000002</v>
      </c>
      <c r="AA35" s="157">
        <v>671.38800000000003</v>
      </c>
      <c r="AB35" s="157">
        <v>4361.4319999999998</v>
      </c>
      <c r="AC35" s="157">
        <v>5291</v>
      </c>
      <c r="AD35" s="1">
        <v>1586.6079999999999</v>
      </c>
      <c r="AE35" s="1">
        <v>2950.4050000000002</v>
      </c>
      <c r="AF35" s="1">
        <v>2927.0079999999998</v>
      </c>
      <c r="AG35" s="1">
        <v>1485.8420000000001</v>
      </c>
      <c r="AH35" s="1">
        <v>2234.9140000000002</v>
      </c>
      <c r="AI35" s="1">
        <v>2988.5160000000001</v>
      </c>
      <c r="AK35" s="1">
        <v>6531.0550000000003</v>
      </c>
    </row>
    <row r="36" spans="1:37" ht="12.75" customHeight="1">
      <c r="A36" s="1" t="s">
        <v>49</v>
      </c>
      <c r="J36" s="157">
        <v>672.28300000000002</v>
      </c>
      <c r="M36" s="1">
        <v>180.279</v>
      </c>
      <c r="O36" s="1">
        <v>314.73599999999999</v>
      </c>
      <c r="R36" s="20">
        <v>217.00899999999999</v>
      </c>
      <c r="S36" s="1">
        <v>165.58199999999999</v>
      </c>
      <c r="T36" s="1">
        <v>310.72800000000001</v>
      </c>
      <c r="U36" s="1">
        <v>187.809</v>
      </c>
      <c r="V36" s="1">
        <v>3843.7710000000002</v>
      </c>
      <c r="W36" s="157">
        <v>5522.4049999999997</v>
      </c>
      <c r="X36" s="157">
        <v>10663.59</v>
      </c>
      <c r="Y36" s="157">
        <v>15318.757</v>
      </c>
      <c r="Z36" s="157">
        <v>13242.547</v>
      </c>
      <c r="AA36" s="157">
        <v>7214.7849999999999</v>
      </c>
      <c r="AB36" s="157">
        <v>4726.7169999999996</v>
      </c>
      <c r="AC36" s="157">
        <v>3926</v>
      </c>
      <c r="AD36" s="1">
        <v>2919.28</v>
      </c>
      <c r="AE36" s="1">
        <v>3643.6469999999999</v>
      </c>
      <c r="AF36" s="1">
        <v>1693.548</v>
      </c>
      <c r="AG36" s="1">
        <v>2325.3229999999999</v>
      </c>
      <c r="AH36" s="1">
        <v>5459.6170000000002</v>
      </c>
      <c r="AI36" s="1">
        <v>4399.2579999999998</v>
      </c>
      <c r="AK36" s="1">
        <v>17634.381000000001</v>
      </c>
    </row>
    <row r="37" spans="1:37" ht="12.75" customHeight="1">
      <c r="A37" s="30" t="s">
        <v>50</v>
      </c>
      <c r="B37" s="30"/>
      <c r="C37" s="30"/>
      <c r="D37" s="30"/>
      <c r="E37" s="30"/>
      <c r="F37" s="30"/>
      <c r="G37" s="30"/>
      <c r="H37" s="30"/>
      <c r="I37" s="30"/>
      <c r="J37" s="158">
        <v>101.389</v>
      </c>
      <c r="K37" s="30"/>
      <c r="L37" s="30"/>
      <c r="M37" s="30">
        <v>50.287999999999997</v>
      </c>
      <c r="N37" s="30"/>
      <c r="O37" s="30">
        <v>46.665999999999997</v>
      </c>
      <c r="P37" s="30"/>
      <c r="Q37" s="30"/>
      <c r="R37" s="40">
        <v>42.43</v>
      </c>
      <c r="S37" s="30">
        <v>57.148000000000003</v>
      </c>
      <c r="T37" s="30">
        <v>47.393000000000001</v>
      </c>
      <c r="U37" s="30">
        <v>996.39099999999996</v>
      </c>
      <c r="V37" s="30">
        <v>549.82500000000005</v>
      </c>
      <c r="W37" s="158">
        <v>1104.143</v>
      </c>
      <c r="X37" s="158">
        <v>2998.5219999999999</v>
      </c>
      <c r="Y37" s="158">
        <v>5828.6580000000004</v>
      </c>
      <c r="Z37" s="158">
        <v>2688.8090000000002</v>
      </c>
      <c r="AA37" s="158">
        <v>-542.00599999999997</v>
      </c>
      <c r="AB37" s="158">
        <v>4576.0219999999999</v>
      </c>
      <c r="AC37" s="158">
        <v>6772</v>
      </c>
      <c r="AD37" s="30">
        <v>1004.7140000000001</v>
      </c>
      <c r="AE37" s="30">
        <v>5150.4880000000003</v>
      </c>
      <c r="AF37" s="30">
        <v>9435.3310000000001</v>
      </c>
      <c r="AG37" s="30">
        <v>1731.088</v>
      </c>
      <c r="AH37" s="30">
        <v>1513.509</v>
      </c>
      <c r="AI37" s="30">
        <v>8433.2669999999998</v>
      </c>
      <c r="AJ37" s="30"/>
      <c r="AK37" s="30">
        <v>5409.6980000000003</v>
      </c>
    </row>
    <row r="38" spans="1:37" ht="12.75" customHeight="1">
      <c r="A38" s="6" t="s">
        <v>51</v>
      </c>
      <c r="B38" s="58">
        <f>SUM(B40:B51)</f>
        <v>0</v>
      </c>
      <c r="C38" s="58">
        <f t="shared" ref="C38:AK38" si="13">SUM(C40:C51)</f>
        <v>0</v>
      </c>
      <c r="D38" s="58">
        <f t="shared" si="13"/>
        <v>0</v>
      </c>
      <c r="E38" s="58">
        <f t="shared" si="13"/>
        <v>0</v>
      </c>
      <c r="F38" s="58">
        <f t="shared" si="13"/>
        <v>0</v>
      </c>
      <c r="G38" s="58">
        <f t="shared" si="13"/>
        <v>0</v>
      </c>
      <c r="H38" s="58">
        <f t="shared" si="13"/>
        <v>0</v>
      </c>
      <c r="I38" s="58">
        <f t="shared" si="13"/>
        <v>0</v>
      </c>
      <c r="J38" s="58">
        <f t="shared" si="13"/>
        <v>4190.8120000000008</v>
      </c>
      <c r="K38" s="58">
        <f t="shared" si="13"/>
        <v>0</v>
      </c>
      <c r="L38" s="58">
        <f t="shared" si="13"/>
        <v>0</v>
      </c>
      <c r="M38" s="58">
        <f t="shared" si="13"/>
        <v>4851.5920000000006</v>
      </c>
      <c r="N38" s="58">
        <f t="shared" si="13"/>
        <v>0</v>
      </c>
      <c r="O38" s="58">
        <f t="shared" si="13"/>
        <v>5391.3401199999998</v>
      </c>
      <c r="P38" s="58">
        <f t="shared" si="13"/>
        <v>0</v>
      </c>
      <c r="Q38" s="58">
        <f t="shared" si="13"/>
        <v>0</v>
      </c>
      <c r="R38" s="58">
        <f t="shared" si="13"/>
        <v>6269.3839999999991</v>
      </c>
      <c r="S38" s="58">
        <f t="shared" si="13"/>
        <v>7704.5680000000002</v>
      </c>
      <c r="T38" s="58">
        <f t="shared" si="13"/>
        <v>59454.669999999991</v>
      </c>
      <c r="U38" s="58">
        <f t="shared" si="13"/>
        <v>75285.767000000007</v>
      </c>
      <c r="V38" s="58">
        <f t="shared" si="13"/>
        <v>49988.014999999999</v>
      </c>
      <c r="W38" s="58">
        <f t="shared" si="13"/>
        <v>86028.088000000003</v>
      </c>
      <c r="X38" s="58">
        <f t="shared" si="13"/>
        <v>136057.39099999997</v>
      </c>
      <c r="Y38" s="58">
        <f t="shared" si="13"/>
        <v>205807.32599999997</v>
      </c>
      <c r="Z38" s="58">
        <f t="shared" si="13"/>
        <v>182894.87199999997</v>
      </c>
      <c r="AA38" s="58">
        <f t="shared" si="13"/>
        <v>101997.79999999999</v>
      </c>
      <c r="AB38" s="58">
        <f t="shared" si="13"/>
        <v>81491.51400000001</v>
      </c>
      <c r="AC38" s="58">
        <f t="shared" si="13"/>
        <v>65459</v>
      </c>
      <c r="AD38" s="58">
        <f t="shared" si="13"/>
        <v>59604.008999999998</v>
      </c>
      <c r="AE38" s="58">
        <f t="shared" si="13"/>
        <v>21350.894</v>
      </c>
      <c r="AF38" s="58">
        <f t="shared" si="13"/>
        <v>68071.115999999995</v>
      </c>
      <c r="AG38" s="58">
        <f t="shared" si="13"/>
        <v>36593.132000000005</v>
      </c>
      <c r="AH38" s="58">
        <f t="shared" si="13"/>
        <v>63030.598000000005</v>
      </c>
      <c r="AI38" s="58">
        <f t="shared" si="13"/>
        <v>59069.448999999993</v>
      </c>
      <c r="AJ38" s="58">
        <f t="shared" si="13"/>
        <v>0</v>
      </c>
      <c r="AK38" s="58">
        <f t="shared" si="13"/>
        <v>231388.25200000001</v>
      </c>
    </row>
    <row r="39" spans="1:37" ht="12.75" customHeight="1">
      <c r="A39" s="6" t="s">
        <v>94</v>
      </c>
    </row>
    <row r="40" spans="1:37" ht="12.75" customHeight="1">
      <c r="A40" s="1" t="s">
        <v>52</v>
      </c>
      <c r="J40" s="157">
        <v>384.76799999999997</v>
      </c>
      <c r="M40" s="1">
        <v>470.911</v>
      </c>
      <c r="O40" s="1">
        <v>583.50800000000004</v>
      </c>
      <c r="R40" s="20">
        <v>624.08699999999999</v>
      </c>
      <c r="S40" s="1">
        <v>795.75800000000004</v>
      </c>
      <c r="T40" s="1">
        <v>23969.655999999999</v>
      </c>
      <c r="U40" s="1">
        <v>22450.031999999999</v>
      </c>
      <c r="V40" s="1">
        <v>15188.962</v>
      </c>
      <c r="W40" s="157">
        <v>25558.06</v>
      </c>
      <c r="X40" s="157">
        <v>42344.743999999999</v>
      </c>
      <c r="Y40" s="157">
        <v>65471.248</v>
      </c>
      <c r="Z40" s="157">
        <v>61361.035000000003</v>
      </c>
      <c r="AA40" s="157">
        <v>37789.082999999999</v>
      </c>
      <c r="AB40" s="157">
        <v>25015.396000000001</v>
      </c>
      <c r="AC40" s="157">
        <v>16095</v>
      </c>
      <c r="AD40" s="1">
        <v>13810.82</v>
      </c>
      <c r="AE40" s="1">
        <v>7262.4440000000004</v>
      </c>
      <c r="AF40" s="1">
        <v>13536.316999999999</v>
      </c>
      <c r="AG40" s="1">
        <v>4288.6480000000001</v>
      </c>
      <c r="AH40" s="1">
        <v>13267.619000000001</v>
      </c>
      <c r="AI40" s="1">
        <v>13859.343000000001</v>
      </c>
      <c r="AK40" s="1">
        <v>52860.423999999999</v>
      </c>
    </row>
    <row r="41" spans="1:37" ht="12.75" customHeight="1">
      <c r="A41" s="1" t="s">
        <v>53</v>
      </c>
      <c r="J41" s="157">
        <v>1324.077</v>
      </c>
      <c r="M41" s="1">
        <v>1205.9839999999999</v>
      </c>
      <c r="O41" s="1">
        <v>1032.3309999999999</v>
      </c>
      <c r="R41" s="20">
        <v>916.03</v>
      </c>
      <c r="S41" s="1">
        <v>952.10699999999997</v>
      </c>
      <c r="T41" s="1">
        <v>4113.38</v>
      </c>
      <c r="U41" s="1">
        <v>3821.375</v>
      </c>
      <c r="V41" s="1">
        <v>43.881999999999998</v>
      </c>
      <c r="W41" s="157">
        <v>259.31200000000001</v>
      </c>
      <c r="X41" s="157">
        <v>1205.95</v>
      </c>
      <c r="Y41" s="157">
        <v>1993.1949999999999</v>
      </c>
      <c r="Z41" s="157">
        <v>121.181</v>
      </c>
      <c r="AA41" s="157">
        <v>22.917999999999999</v>
      </c>
      <c r="AB41" s="157">
        <v>-1E-3</v>
      </c>
      <c r="AC41" s="157">
        <v>6</v>
      </c>
      <c r="AD41" s="1">
        <v>3729.7759999999998</v>
      </c>
      <c r="AE41" s="1">
        <v>2501.8809999999999</v>
      </c>
      <c r="AF41" s="1">
        <v>3652.922</v>
      </c>
      <c r="AG41" s="1">
        <v>5564.5240000000003</v>
      </c>
      <c r="AH41" s="1">
        <v>5301.0159999999996</v>
      </c>
      <c r="AI41" s="1">
        <v>2909.7080000000001</v>
      </c>
      <c r="AK41" s="1">
        <v>28916.891</v>
      </c>
    </row>
    <row r="42" spans="1:37" ht="12.75" customHeight="1">
      <c r="A42" s="1" t="s">
        <v>54</v>
      </c>
      <c r="J42" s="157">
        <v>3.9980000000000002</v>
      </c>
      <c r="M42" s="1">
        <v>6.2320000000000002</v>
      </c>
      <c r="O42" s="1">
        <v>7.7249999999999996</v>
      </c>
      <c r="R42" s="20">
        <v>7.1660000000000004</v>
      </c>
      <c r="S42" s="1">
        <v>7.516</v>
      </c>
      <c r="T42" s="1">
        <v>14.696999999999999</v>
      </c>
      <c r="U42" s="1">
        <v>4675.0450000000001</v>
      </c>
      <c r="V42" s="1">
        <v>4160.9189999999999</v>
      </c>
      <c r="W42" s="157">
        <v>6422.4229999999998</v>
      </c>
      <c r="X42" s="157">
        <v>12184.638000000001</v>
      </c>
      <c r="Y42" s="157">
        <v>17935.580000000002</v>
      </c>
      <c r="Z42" s="157">
        <v>23358.912</v>
      </c>
      <c r="AA42" s="157">
        <v>8526.8310000000001</v>
      </c>
      <c r="AB42" s="157">
        <v>4434.0569999999998</v>
      </c>
      <c r="AC42" s="157">
        <v>3544</v>
      </c>
      <c r="AD42" s="1">
        <v>2137.2139999999999</v>
      </c>
      <c r="AE42" s="1">
        <v>1857.078</v>
      </c>
      <c r="AF42" s="1">
        <v>2011.0740000000001</v>
      </c>
      <c r="AG42" s="1">
        <v>2339.1019999999999</v>
      </c>
      <c r="AH42" s="1">
        <v>2143.498</v>
      </c>
      <c r="AI42" s="1">
        <v>3544.011</v>
      </c>
      <c r="AK42" s="1">
        <v>11480.112999999999</v>
      </c>
    </row>
    <row r="43" spans="1:37" ht="12.75" customHeight="1">
      <c r="A43" s="1" t="s">
        <v>55</v>
      </c>
      <c r="J43" s="157">
        <v>73.966999999999999</v>
      </c>
      <c r="M43" s="1">
        <v>214.58699999999999</v>
      </c>
      <c r="O43" s="1">
        <v>355.65600000000001</v>
      </c>
      <c r="R43" s="20">
        <v>707.88800000000003</v>
      </c>
      <c r="S43" s="1">
        <v>578.10900000000004</v>
      </c>
      <c r="T43" s="1">
        <v>1917.9069999999999</v>
      </c>
      <c r="U43" s="1">
        <v>2662.538</v>
      </c>
      <c r="V43" s="1">
        <v>2983.0749999999998</v>
      </c>
      <c r="W43" s="157">
        <v>5634.0039999999999</v>
      </c>
      <c r="X43" s="157">
        <v>10534.630999999999</v>
      </c>
      <c r="Y43" s="157">
        <v>13425.675999999999</v>
      </c>
      <c r="Z43" s="157">
        <v>9747.848</v>
      </c>
      <c r="AA43" s="157">
        <v>3582.346</v>
      </c>
      <c r="AB43" s="157">
        <v>2024.3320000000001</v>
      </c>
      <c r="AC43" s="157">
        <v>1250</v>
      </c>
      <c r="AD43" s="1">
        <v>-341.71100000000001</v>
      </c>
      <c r="AE43" s="1">
        <v>-150.15100000000001</v>
      </c>
      <c r="AF43" s="1">
        <v>-533.08900000000006</v>
      </c>
      <c r="AG43" s="1">
        <v>-805.02599999999995</v>
      </c>
      <c r="AH43" s="1">
        <v>-840.572</v>
      </c>
      <c r="AI43" s="1">
        <v>710.02499999999998</v>
      </c>
      <c r="AK43" s="1">
        <v>6203.9679999999998</v>
      </c>
    </row>
    <row r="44" spans="1:37" ht="12.75" customHeight="1">
      <c r="A44" s="1" t="s">
        <v>56</v>
      </c>
      <c r="J44" s="157">
        <v>1826.991</v>
      </c>
      <c r="M44" s="1">
        <v>1831.309</v>
      </c>
      <c r="O44" s="1">
        <v>1868.99802</v>
      </c>
      <c r="R44" s="20">
        <v>2248.672</v>
      </c>
      <c r="S44" s="1">
        <v>3480.7049999999999</v>
      </c>
      <c r="T44" s="1">
        <v>9944.3330000000005</v>
      </c>
      <c r="U44" s="1">
        <v>20412.07</v>
      </c>
      <c r="V44" s="1">
        <v>15327.155000000001</v>
      </c>
      <c r="W44" s="157">
        <v>21022.982</v>
      </c>
      <c r="X44" s="157">
        <v>31723.460999999999</v>
      </c>
      <c r="Y44" s="157">
        <v>51187.527000000002</v>
      </c>
      <c r="Z44" s="157">
        <v>38721.516000000003</v>
      </c>
      <c r="AA44" s="157">
        <v>21283.646000000001</v>
      </c>
      <c r="AB44" s="157">
        <v>25053.16</v>
      </c>
      <c r="AC44" s="157">
        <v>19592</v>
      </c>
      <c r="AD44" s="1">
        <v>20991.612000000001</v>
      </c>
      <c r="AE44" s="1">
        <v>-8520.3080000000009</v>
      </c>
      <c r="AF44" s="1">
        <v>19414.878000000001</v>
      </c>
      <c r="AG44" s="1">
        <v>20279.786</v>
      </c>
      <c r="AH44" s="1">
        <v>22211.727999999999</v>
      </c>
      <c r="AI44" s="1">
        <v>7189.1570000000002</v>
      </c>
      <c r="AK44" s="1">
        <v>54466.035000000003</v>
      </c>
    </row>
    <row r="45" spans="1:37" ht="12.75" customHeight="1">
      <c r="A45" s="1" t="s">
        <v>57</v>
      </c>
      <c r="J45" s="157">
        <v>81.936000000000007</v>
      </c>
      <c r="M45" s="1">
        <v>6.7000000000000004E-2</v>
      </c>
      <c r="O45" s="1">
        <v>0</v>
      </c>
      <c r="R45" s="20">
        <v>78.988</v>
      </c>
      <c r="S45" s="1">
        <v>100.27800000000001</v>
      </c>
      <c r="T45" s="1">
        <v>64.688999999999993</v>
      </c>
      <c r="U45" s="1">
        <v>727.43</v>
      </c>
      <c r="V45" s="1">
        <v>561.52300000000002</v>
      </c>
      <c r="W45" s="157">
        <v>639.851</v>
      </c>
      <c r="X45" s="157">
        <v>1278.0519999999999</v>
      </c>
      <c r="Y45" s="157">
        <v>2089.7919999999999</v>
      </c>
      <c r="Z45" s="157">
        <v>1701.798</v>
      </c>
      <c r="AA45" s="157">
        <v>1230.665</v>
      </c>
      <c r="AB45" s="157">
        <v>1241.444</v>
      </c>
      <c r="AC45" s="157">
        <v>2751</v>
      </c>
      <c r="AD45" s="1">
        <v>2804.6390000000001</v>
      </c>
      <c r="AE45" s="1">
        <v>2680.0010000000002</v>
      </c>
      <c r="AF45" s="1">
        <v>3004.127</v>
      </c>
      <c r="AG45" s="1">
        <v>2730.598</v>
      </c>
      <c r="AH45" s="1">
        <v>4058.1370000000002</v>
      </c>
      <c r="AI45" s="1">
        <v>5476.9669999999996</v>
      </c>
      <c r="AK45" s="1">
        <v>10028.391</v>
      </c>
    </row>
    <row r="46" spans="1:37" ht="12.75" customHeight="1">
      <c r="A46" s="1" t="s">
        <v>58</v>
      </c>
      <c r="J46" s="157">
        <v>20.722000000000001</v>
      </c>
      <c r="M46" s="1">
        <v>184.95</v>
      </c>
      <c r="O46" s="1">
        <v>20.896000000000001</v>
      </c>
      <c r="R46" s="20">
        <v>94.405000000000001</v>
      </c>
      <c r="S46" s="1">
        <v>91.350999999999999</v>
      </c>
      <c r="T46" s="1">
        <v>169.93899999999999</v>
      </c>
      <c r="U46" s="1">
        <v>1373.3340000000001</v>
      </c>
      <c r="V46" s="1">
        <v>1450.701</v>
      </c>
      <c r="W46" s="157">
        <v>3283.1550000000002</v>
      </c>
      <c r="X46" s="157">
        <v>5397.9120000000003</v>
      </c>
      <c r="Y46" s="157">
        <v>7678.97</v>
      </c>
      <c r="Z46" s="157">
        <v>5931.3829999999998</v>
      </c>
      <c r="AA46" s="157">
        <v>3049.6950000000002</v>
      </c>
      <c r="AB46" s="157">
        <v>2036.502</v>
      </c>
      <c r="AC46" s="157">
        <v>1791</v>
      </c>
      <c r="AD46" s="1">
        <v>2152.85</v>
      </c>
      <c r="AE46" s="1">
        <v>2166.29</v>
      </c>
      <c r="AF46" s="1">
        <v>2959.357</v>
      </c>
      <c r="AG46" s="1">
        <v>1813.221</v>
      </c>
      <c r="AH46" s="1">
        <v>2157.8040000000001</v>
      </c>
      <c r="AI46" s="1">
        <v>3635.5940000000001</v>
      </c>
      <c r="AK46" s="1">
        <v>9216.6730000000007</v>
      </c>
    </row>
    <row r="47" spans="1:37" ht="12.75" customHeight="1">
      <c r="A47" s="1" t="s">
        <v>59</v>
      </c>
      <c r="J47" s="157">
        <v>5.19</v>
      </c>
      <c r="M47" s="1">
        <v>7.45</v>
      </c>
      <c r="O47" s="1">
        <v>45.908000000000001</v>
      </c>
      <c r="R47" s="27">
        <v>59.206000000000003</v>
      </c>
      <c r="S47" s="1">
        <v>25.652000000000001</v>
      </c>
      <c r="T47" s="1">
        <v>8.3610000000000007</v>
      </c>
      <c r="U47" s="1">
        <v>1370.308</v>
      </c>
      <c r="V47" s="1">
        <v>1113.251</v>
      </c>
      <c r="W47" s="157">
        <v>1386.9970000000001</v>
      </c>
      <c r="X47" s="157">
        <v>2501.6610000000001</v>
      </c>
      <c r="Y47" s="157">
        <v>3610.623</v>
      </c>
      <c r="Z47" s="157">
        <v>3245.4270000000001</v>
      </c>
      <c r="AA47" s="157">
        <v>2261.087</v>
      </c>
      <c r="AB47" s="157">
        <v>1173.3240000000001</v>
      </c>
      <c r="AC47" s="157">
        <v>709</v>
      </c>
      <c r="AD47" s="1">
        <v>465.416</v>
      </c>
      <c r="AE47" s="1">
        <v>908.572</v>
      </c>
      <c r="AF47" s="1">
        <v>360.44900000000001</v>
      </c>
      <c r="AG47" s="1">
        <v>369.89800000000002</v>
      </c>
      <c r="AH47" s="1">
        <v>512.36199999999997</v>
      </c>
      <c r="AI47" s="1">
        <v>856.12300000000005</v>
      </c>
      <c r="AK47" s="1">
        <v>5446.2950000000001</v>
      </c>
    </row>
    <row r="48" spans="1:37" ht="12.75" customHeight="1">
      <c r="A48" s="1" t="s">
        <v>60</v>
      </c>
      <c r="J48" s="157">
        <v>200.90600000000001</v>
      </c>
      <c r="M48" s="1">
        <v>259.27699999999999</v>
      </c>
      <c r="O48" s="1">
        <v>273.74197999999996</v>
      </c>
      <c r="R48" s="20">
        <v>369.58300000000003</v>
      </c>
      <c r="S48" s="1">
        <v>449.274</v>
      </c>
      <c r="T48" s="1">
        <v>532.68799999999999</v>
      </c>
      <c r="U48" s="1">
        <v>430.642</v>
      </c>
      <c r="V48" s="1">
        <v>401.84100000000001</v>
      </c>
      <c r="W48" s="157">
        <v>570.65700000000004</v>
      </c>
      <c r="X48" s="157">
        <v>944.28800000000001</v>
      </c>
      <c r="Y48" s="157">
        <v>942.99199999999996</v>
      </c>
      <c r="Z48" s="157">
        <v>722.322</v>
      </c>
      <c r="AA48" s="157">
        <v>1788.575</v>
      </c>
      <c r="AB48" s="157">
        <v>2007.375</v>
      </c>
      <c r="AC48" s="157">
        <v>795</v>
      </c>
      <c r="AD48" s="1">
        <v>-13.058999999999999</v>
      </c>
      <c r="AE48" s="1">
        <v>118.14400000000001</v>
      </c>
      <c r="AF48" s="1">
        <v>806.10599999999999</v>
      </c>
      <c r="AG48" s="1">
        <v>775.30100000000004</v>
      </c>
      <c r="AH48" s="1">
        <v>832.30499999999995</v>
      </c>
      <c r="AI48" s="1">
        <v>756.572</v>
      </c>
      <c r="AK48" s="1">
        <v>1353.175</v>
      </c>
    </row>
    <row r="49" spans="1:37" ht="12.75" customHeight="1">
      <c r="A49" s="1" t="s">
        <v>61</v>
      </c>
      <c r="J49" s="157">
        <v>239.43600000000001</v>
      </c>
      <c r="M49" s="1">
        <v>657.654</v>
      </c>
      <c r="O49" s="1">
        <v>878.07</v>
      </c>
      <c r="R49" s="20">
        <v>1003.891</v>
      </c>
      <c r="S49" s="1">
        <v>960.04100000000005</v>
      </c>
      <c r="T49" s="1">
        <v>15207.32</v>
      </c>
      <c r="U49" s="1">
        <v>11978.397000000001</v>
      </c>
      <c r="V49" s="1">
        <v>5177.3599999999997</v>
      </c>
      <c r="W49" s="157">
        <v>13063.968999999999</v>
      </c>
      <c r="X49" s="157">
        <v>13595.137000000001</v>
      </c>
      <c r="Y49" s="157">
        <v>24590.648000000001</v>
      </c>
      <c r="Z49" s="157">
        <v>24932.581999999999</v>
      </c>
      <c r="AA49" s="157">
        <v>13822.143</v>
      </c>
      <c r="AB49" s="157">
        <v>15180.421</v>
      </c>
      <c r="AC49" s="157">
        <v>16400</v>
      </c>
      <c r="AD49" s="1">
        <v>11201.4</v>
      </c>
      <c r="AE49" s="1">
        <v>8159.0420000000004</v>
      </c>
      <c r="AF49" s="1">
        <v>18797.077000000001</v>
      </c>
      <c r="AG49" s="1">
        <v>7708.5950000000003</v>
      </c>
      <c r="AH49" s="1">
        <v>6088.0169999999998</v>
      </c>
      <c r="AI49" s="1">
        <v>13375.762000000001</v>
      </c>
      <c r="AK49" s="1">
        <v>29157.541000000001</v>
      </c>
    </row>
    <row r="50" spans="1:37" ht="12.75" customHeight="1">
      <c r="A50" s="1" t="s">
        <v>62</v>
      </c>
      <c r="J50" s="157">
        <v>0</v>
      </c>
      <c r="M50" s="1">
        <v>5.47</v>
      </c>
      <c r="O50" s="1">
        <v>89.911119999999997</v>
      </c>
      <c r="R50" s="20">
        <v>130.96199999999999</v>
      </c>
      <c r="S50" s="1">
        <v>17.684000000000001</v>
      </c>
      <c r="T50" s="1">
        <v>0</v>
      </c>
      <c r="U50" s="1">
        <v>83.504000000000005</v>
      </c>
      <c r="V50" s="1">
        <v>37.286999999999999</v>
      </c>
      <c r="W50" s="157">
        <v>372.87</v>
      </c>
      <c r="X50" s="157">
        <v>392.56</v>
      </c>
      <c r="Y50" s="157">
        <v>407.62900000000002</v>
      </c>
      <c r="Z50" s="157">
        <v>377.78899999999999</v>
      </c>
      <c r="AA50" s="157">
        <v>2939.6280000000002</v>
      </c>
      <c r="AB50" s="157">
        <v>97.528999999999996</v>
      </c>
      <c r="AC50" s="157">
        <v>109</v>
      </c>
      <c r="AD50" s="1">
        <v>116.88500000000001</v>
      </c>
      <c r="AE50" s="1">
        <v>2244.3040000000001</v>
      </c>
      <c r="AF50" s="1">
        <v>3624.9630000000002</v>
      </c>
      <c r="AG50" s="1">
        <v>-8639.6919999999991</v>
      </c>
      <c r="AH50" s="1">
        <v>4887.0010000000002</v>
      </c>
      <c r="AI50" s="1">
        <v>3797.83</v>
      </c>
      <c r="AK50" s="1">
        <v>4702.027</v>
      </c>
    </row>
    <row r="51" spans="1:37" ht="12.75" customHeight="1">
      <c r="A51" s="30" t="s">
        <v>63</v>
      </c>
      <c r="B51" s="30"/>
      <c r="C51" s="30"/>
      <c r="D51" s="30"/>
      <c r="E51" s="30"/>
      <c r="F51" s="30"/>
      <c r="G51" s="30"/>
      <c r="H51" s="30"/>
      <c r="I51" s="30"/>
      <c r="J51" s="158">
        <v>28.821000000000002</v>
      </c>
      <c r="K51" s="30"/>
      <c r="L51" s="30"/>
      <c r="M51" s="30">
        <v>7.7009999999999996</v>
      </c>
      <c r="N51" s="30"/>
      <c r="O51" s="30">
        <v>234.595</v>
      </c>
      <c r="P51" s="30"/>
      <c r="Q51" s="30"/>
      <c r="R51" s="40">
        <v>28.506</v>
      </c>
      <c r="S51" s="30">
        <v>246.09299999999999</v>
      </c>
      <c r="T51" s="30">
        <v>3511.7</v>
      </c>
      <c r="U51" s="30">
        <v>5301.0919999999996</v>
      </c>
      <c r="V51" s="30">
        <v>3542.0590000000002</v>
      </c>
      <c r="W51" s="158">
        <v>7813.808</v>
      </c>
      <c r="X51" s="158">
        <v>13954.357</v>
      </c>
      <c r="Y51" s="158">
        <v>16473.446</v>
      </c>
      <c r="Z51" s="158">
        <v>12673.079</v>
      </c>
      <c r="AA51" s="158">
        <v>5701.183</v>
      </c>
      <c r="AB51" s="158">
        <v>3227.9749999999999</v>
      </c>
      <c r="AC51" s="158">
        <v>2417</v>
      </c>
      <c r="AD51" s="30">
        <v>2548.1669999999999</v>
      </c>
      <c r="AE51" s="30">
        <v>2123.5970000000002</v>
      </c>
      <c r="AF51" s="30">
        <v>436.935</v>
      </c>
      <c r="AG51" s="30">
        <v>168.17699999999999</v>
      </c>
      <c r="AH51" s="30">
        <v>2411.683</v>
      </c>
      <c r="AI51" s="30">
        <v>2958.357</v>
      </c>
      <c r="AJ51" s="30"/>
      <c r="AK51" s="30">
        <v>17556.719000000001</v>
      </c>
    </row>
    <row r="52" spans="1:37" ht="12.75" customHeight="1">
      <c r="A52" s="6" t="s">
        <v>64</v>
      </c>
      <c r="B52" s="58">
        <f>SUM(B54:B62)</f>
        <v>0</v>
      </c>
      <c r="C52" s="58">
        <f t="shared" ref="C52:AK52" si="14">SUM(C54:C62)</f>
        <v>0</v>
      </c>
      <c r="D52" s="58">
        <f t="shared" si="14"/>
        <v>0</v>
      </c>
      <c r="E52" s="58">
        <f t="shared" si="14"/>
        <v>0</v>
      </c>
      <c r="F52" s="58">
        <f t="shared" si="14"/>
        <v>0</v>
      </c>
      <c r="G52" s="58">
        <f t="shared" si="14"/>
        <v>0</v>
      </c>
      <c r="H52" s="58">
        <f t="shared" si="14"/>
        <v>0</v>
      </c>
      <c r="I52" s="58">
        <f t="shared" si="14"/>
        <v>0</v>
      </c>
      <c r="J52" s="58">
        <f t="shared" si="14"/>
        <v>794.38200000000006</v>
      </c>
      <c r="K52" s="58">
        <f t="shared" si="14"/>
        <v>0</v>
      </c>
      <c r="L52" s="58">
        <f t="shared" si="14"/>
        <v>0</v>
      </c>
      <c r="M52" s="58">
        <f t="shared" si="14"/>
        <v>1147.8609999999999</v>
      </c>
      <c r="N52" s="58">
        <f t="shared" si="14"/>
        <v>0</v>
      </c>
      <c r="O52" s="58">
        <f t="shared" si="14"/>
        <v>1162.258</v>
      </c>
      <c r="P52" s="58">
        <f t="shared" si="14"/>
        <v>0</v>
      </c>
      <c r="Q52" s="58">
        <f t="shared" si="14"/>
        <v>0</v>
      </c>
      <c r="R52" s="58">
        <f t="shared" si="14"/>
        <v>898.70999999999992</v>
      </c>
      <c r="S52" s="58">
        <f t="shared" si="14"/>
        <v>871.28800000000001</v>
      </c>
      <c r="T52" s="58">
        <f t="shared" si="14"/>
        <v>15080.039000000001</v>
      </c>
      <c r="U52" s="58">
        <f t="shared" si="14"/>
        <v>14566.92</v>
      </c>
      <c r="V52" s="58">
        <f t="shared" si="14"/>
        <v>15957.360000000002</v>
      </c>
      <c r="W52" s="58">
        <f t="shared" si="14"/>
        <v>23684.194</v>
      </c>
      <c r="X52" s="58">
        <f t="shared" si="14"/>
        <v>48025.991999999998</v>
      </c>
      <c r="Y52" s="58">
        <f t="shared" si="14"/>
        <v>67027.221000000005</v>
      </c>
      <c r="Z52" s="58">
        <f t="shared" si="14"/>
        <v>49240.358</v>
      </c>
      <c r="AA52" s="58">
        <f t="shared" si="14"/>
        <v>23298.763999999999</v>
      </c>
      <c r="AB52" s="58">
        <f t="shared" si="14"/>
        <v>27621.791000000001</v>
      </c>
      <c r="AC52" s="58">
        <f t="shared" si="14"/>
        <v>27873</v>
      </c>
      <c r="AD52" s="58">
        <f t="shared" si="14"/>
        <v>9399.219000000001</v>
      </c>
      <c r="AE52" s="58">
        <f t="shared" si="14"/>
        <v>12773.882</v>
      </c>
      <c r="AF52" s="58">
        <f t="shared" si="14"/>
        <v>22525.254000000001</v>
      </c>
      <c r="AG52" s="58">
        <f t="shared" si="14"/>
        <v>5935.6260000000002</v>
      </c>
      <c r="AH52" s="58">
        <f t="shared" si="14"/>
        <v>6225.6380000000008</v>
      </c>
      <c r="AI52" s="58">
        <f t="shared" si="14"/>
        <v>4010.9689999999982</v>
      </c>
      <c r="AJ52" s="58">
        <f t="shared" si="14"/>
        <v>0</v>
      </c>
      <c r="AK52" s="58">
        <f t="shared" si="14"/>
        <v>38880.839999999997</v>
      </c>
    </row>
    <row r="53" spans="1:37" ht="12.75" customHeight="1">
      <c r="A53" s="6" t="s">
        <v>94</v>
      </c>
    </row>
    <row r="54" spans="1:37" ht="12.75" customHeight="1">
      <c r="A54" s="1" t="s">
        <v>65</v>
      </c>
      <c r="J54" s="157">
        <v>0</v>
      </c>
      <c r="M54" s="1">
        <v>0</v>
      </c>
      <c r="O54" s="1">
        <v>0</v>
      </c>
      <c r="R54" s="20">
        <v>0</v>
      </c>
      <c r="S54" s="1">
        <v>0</v>
      </c>
      <c r="T54" s="1">
        <v>830.93299999999999</v>
      </c>
      <c r="U54" s="1">
        <v>514.21699999999998</v>
      </c>
      <c r="V54" s="1">
        <v>434.404</v>
      </c>
      <c r="W54" s="157">
        <v>1003.921</v>
      </c>
      <c r="X54" s="157">
        <v>2141.971</v>
      </c>
      <c r="Y54" s="157">
        <v>3464.8220000000001</v>
      </c>
      <c r="Z54" s="157">
        <v>2812.473</v>
      </c>
      <c r="AA54" s="157">
        <v>1072.296</v>
      </c>
      <c r="AB54" s="157">
        <v>230.57300000000001</v>
      </c>
      <c r="AC54" s="157">
        <v>197</v>
      </c>
      <c r="AD54" s="1">
        <v>127.639</v>
      </c>
      <c r="AE54" s="1">
        <v>119.289</v>
      </c>
      <c r="AF54" s="1">
        <v>103.06</v>
      </c>
      <c r="AG54" s="1">
        <v>100.616</v>
      </c>
      <c r="AH54" s="1">
        <v>229.98699999999999</v>
      </c>
      <c r="AI54" s="1">
        <v>511.76499999999999</v>
      </c>
      <c r="AK54" s="1">
        <v>1632.5409999999999</v>
      </c>
    </row>
    <row r="55" spans="1:37" ht="12.75" customHeight="1">
      <c r="A55" s="1" t="s">
        <v>66</v>
      </c>
      <c r="J55" s="157">
        <v>52.451999999999998</v>
      </c>
      <c r="M55" s="1">
        <v>42.642000000000003</v>
      </c>
      <c r="O55" s="1">
        <v>50.381</v>
      </c>
      <c r="R55" s="20">
        <v>102.143</v>
      </c>
      <c r="S55" s="1">
        <v>125.048</v>
      </c>
      <c r="T55" s="1">
        <v>-596.95299999999997</v>
      </c>
      <c r="U55" s="1">
        <v>-148.14699999999999</v>
      </c>
      <c r="V55" s="1">
        <v>131.66200000000001</v>
      </c>
      <c r="W55" s="157">
        <v>-6.16</v>
      </c>
      <c r="X55" s="157">
        <v>118.80800000000001</v>
      </c>
      <c r="Y55" s="157">
        <v>505.815</v>
      </c>
      <c r="Z55" s="157">
        <v>-564.25300000000004</v>
      </c>
      <c r="AA55" s="157">
        <v>-499.79399999999998</v>
      </c>
      <c r="AB55" s="157">
        <v>357.69400000000002</v>
      </c>
      <c r="AC55" s="157">
        <v>594</v>
      </c>
      <c r="AD55" s="1">
        <v>183.53299999999999</v>
      </c>
      <c r="AE55" s="1">
        <v>614.69899999999996</v>
      </c>
      <c r="AF55" s="1">
        <v>788.60500000000002</v>
      </c>
      <c r="AG55" s="1">
        <v>22.635000000000002</v>
      </c>
      <c r="AH55" s="1">
        <v>-66.22</v>
      </c>
      <c r="AI55" s="1">
        <v>622.553</v>
      </c>
      <c r="AK55" s="1">
        <v>214.875</v>
      </c>
    </row>
    <row r="56" spans="1:37" ht="12.75" customHeight="1">
      <c r="A56" s="1" t="s">
        <v>67</v>
      </c>
      <c r="J56" s="157">
        <v>81.551000000000002</v>
      </c>
      <c r="M56" s="1">
        <v>439.036</v>
      </c>
      <c r="O56" s="1">
        <v>326.05200000000002</v>
      </c>
      <c r="R56" s="20">
        <v>2.165</v>
      </c>
      <c r="S56" s="1">
        <v>46.850999999999999</v>
      </c>
      <c r="T56" s="1">
        <v>972.07299999999998</v>
      </c>
      <c r="U56" s="1">
        <v>1436.788</v>
      </c>
      <c r="V56" s="1">
        <v>1916.9690000000001</v>
      </c>
      <c r="W56" s="157">
        <v>3574.8240000000001</v>
      </c>
      <c r="X56" s="157">
        <v>4565.4840000000004</v>
      </c>
      <c r="Y56" s="157">
        <v>7653.44</v>
      </c>
      <c r="Z56" s="157">
        <v>3065.5509999999999</v>
      </c>
      <c r="AA56" s="157">
        <v>-1889.8579999999999</v>
      </c>
      <c r="AB56" s="157">
        <v>3502.105</v>
      </c>
      <c r="AC56" s="157">
        <v>5446</v>
      </c>
      <c r="AD56" s="1">
        <v>1358.81</v>
      </c>
      <c r="AE56" s="1">
        <v>4975.3639999999996</v>
      </c>
      <c r="AF56" s="1">
        <v>8332.9609999999993</v>
      </c>
      <c r="AG56" s="1">
        <v>1814.248</v>
      </c>
      <c r="AH56" s="1">
        <v>448.11399999999998</v>
      </c>
      <c r="AI56" s="1">
        <v>8280.5139999999992</v>
      </c>
      <c r="AK56" s="1">
        <v>7139.0029999999997</v>
      </c>
    </row>
    <row r="57" spans="1:37" ht="12.75" customHeight="1">
      <c r="A57" s="1" t="s">
        <v>68</v>
      </c>
      <c r="J57" s="157">
        <v>0</v>
      </c>
      <c r="M57" s="1">
        <v>0</v>
      </c>
      <c r="O57" s="1">
        <v>0</v>
      </c>
      <c r="R57" s="27">
        <v>0</v>
      </c>
      <c r="S57" s="1">
        <v>0</v>
      </c>
      <c r="T57" s="1">
        <v>0</v>
      </c>
      <c r="U57" s="1">
        <v>0</v>
      </c>
      <c r="V57" s="1">
        <v>0</v>
      </c>
      <c r="W57" s="157">
        <v>0</v>
      </c>
      <c r="X57" s="157">
        <v>0</v>
      </c>
      <c r="Y57" s="157">
        <v>0</v>
      </c>
      <c r="Z57" s="157">
        <v>0</v>
      </c>
      <c r="AA57" s="157">
        <v>0</v>
      </c>
      <c r="AB57" s="157">
        <v>0</v>
      </c>
      <c r="AC57" s="157">
        <v>0</v>
      </c>
      <c r="AD57" s="1">
        <v>0</v>
      </c>
      <c r="AE57" s="1">
        <v>0</v>
      </c>
      <c r="AF57" s="1">
        <v>0</v>
      </c>
      <c r="AG57" s="1">
        <v>0</v>
      </c>
      <c r="AH57" s="1">
        <v>0</v>
      </c>
      <c r="AI57" s="1">
        <v>2000.66</v>
      </c>
      <c r="AK57" s="1">
        <v>1428.982</v>
      </c>
    </row>
    <row r="58" spans="1:37" ht="12.75" customHeight="1">
      <c r="A58" s="1" t="s">
        <v>69</v>
      </c>
      <c r="J58" s="157">
        <v>138.465</v>
      </c>
      <c r="M58" s="1">
        <v>174.292</v>
      </c>
      <c r="O58" s="1">
        <v>91.519000000000005</v>
      </c>
      <c r="R58" s="27">
        <v>383.03</v>
      </c>
      <c r="S58" s="1">
        <v>301.69499999999999</v>
      </c>
      <c r="T58" s="1">
        <v>5663.2539999999999</v>
      </c>
      <c r="U58" s="1">
        <v>3218.3229999999999</v>
      </c>
      <c r="V58" s="1">
        <v>2000.604</v>
      </c>
      <c r="W58" s="157">
        <v>4304.7579999999998</v>
      </c>
      <c r="X58" s="157">
        <v>8533.2440000000006</v>
      </c>
      <c r="Y58" s="157">
        <v>11883.909</v>
      </c>
      <c r="Z58" s="157">
        <v>8577.4850000000006</v>
      </c>
      <c r="AA58" s="157">
        <v>4594.8710000000001</v>
      </c>
      <c r="AB58" s="157">
        <v>3173.4989999999998</v>
      </c>
      <c r="AC58" s="157">
        <v>2369</v>
      </c>
      <c r="AD58" s="1">
        <v>1140.663</v>
      </c>
      <c r="AE58" s="1">
        <v>1802.865</v>
      </c>
      <c r="AF58" s="1">
        <v>2355.5650000000001</v>
      </c>
      <c r="AG58" s="1">
        <v>1276.777</v>
      </c>
      <c r="AH58" s="1">
        <v>1208.742</v>
      </c>
      <c r="AI58" s="1">
        <v>3508.931</v>
      </c>
      <c r="AK58" s="1">
        <v>6839.0879999999997</v>
      </c>
    </row>
    <row r="59" spans="1:37" ht="12.75" customHeight="1">
      <c r="A59" s="1" t="s">
        <v>70</v>
      </c>
      <c r="J59" s="157">
        <v>380.02300000000002</v>
      </c>
      <c r="M59" s="1">
        <v>432.33800000000002</v>
      </c>
      <c r="O59" s="1">
        <v>611.77800000000002</v>
      </c>
      <c r="R59" s="27">
        <v>302.05399999999997</v>
      </c>
      <c r="S59" s="1">
        <v>7.81</v>
      </c>
      <c r="T59" s="1">
        <v>5707.8909999999996</v>
      </c>
      <c r="U59" s="1">
        <v>8365.875</v>
      </c>
      <c r="V59" s="1">
        <v>10247.727000000001</v>
      </c>
      <c r="W59" s="157">
        <v>11200.316999999999</v>
      </c>
      <c r="X59" s="157">
        <v>20880.816999999999</v>
      </c>
      <c r="Y59" s="157">
        <v>28198.488000000001</v>
      </c>
      <c r="Z59" s="157">
        <v>20991.465</v>
      </c>
      <c r="AA59" s="157">
        <v>13256.746999999999</v>
      </c>
      <c r="AB59" s="157">
        <v>14567.909</v>
      </c>
      <c r="AC59" s="157">
        <v>14021</v>
      </c>
      <c r="AD59" s="1">
        <v>3062.26</v>
      </c>
      <c r="AE59" s="1">
        <v>1675.9190000000001</v>
      </c>
      <c r="AF59" s="1">
        <v>6087.0659999999998</v>
      </c>
      <c r="AG59" s="1">
        <v>-33.372</v>
      </c>
      <c r="AH59" s="1">
        <v>143.833</v>
      </c>
      <c r="AI59" s="1">
        <v>-16937.164000000001</v>
      </c>
      <c r="AK59" s="1">
        <v>5879.6409999999996</v>
      </c>
    </row>
    <row r="60" spans="1:37" ht="12.75" customHeight="1">
      <c r="A60" s="1" t="s">
        <v>71</v>
      </c>
      <c r="J60" s="157">
        <v>19.600000000000001</v>
      </c>
      <c r="M60" s="1">
        <v>55.637</v>
      </c>
      <c r="O60" s="1">
        <v>76.227999999999994</v>
      </c>
      <c r="R60" s="20">
        <v>96.418000000000006</v>
      </c>
      <c r="S60" s="1">
        <v>374.78699999999998</v>
      </c>
      <c r="T60" s="1">
        <v>2264.5210000000002</v>
      </c>
      <c r="U60" s="1">
        <v>951.25800000000004</v>
      </c>
      <c r="V60" s="1">
        <v>1045.3340000000001</v>
      </c>
      <c r="W60" s="157">
        <v>3321.1120000000001</v>
      </c>
      <c r="X60" s="157">
        <v>11226.925999999999</v>
      </c>
      <c r="Y60" s="157">
        <v>14575.171</v>
      </c>
      <c r="Z60" s="157">
        <v>13836.223</v>
      </c>
      <c r="AA60" s="157">
        <v>6182.27</v>
      </c>
      <c r="AB60" s="157">
        <v>5615.183</v>
      </c>
      <c r="AC60" s="157">
        <v>4575</v>
      </c>
      <c r="AD60" s="1">
        <v>3207.857</v>
      </c>
      <c r="AE60" s="1">
        <v>2332.0439999999999</v>
      </c>
      <c r="AF60" s="1">
        <v>3567.038</v>
      </c>
      <c r="AG60" s="1">
        <v>2488.5709999999999</v>
      </c>
      <c r="AH60" s="1">
        <v>4084.8150000000001</v>
      </c>
      <c r="AI60" s="1">
        <v>5652.75</v>
      </c>
      <c r="AK60" s="1">
        <v>15405.662</v>
      </c>
    </row>
    <row r="61" spans="1:37" ht="12.75" customHeight="1">
      <c r="A61" s="1" t="s">
        <v>72</v>
      </c>
      <c r="J61" s="157">
        <v>0</v>
      </c>
      <c r="M61" s="1">
        <v>0</v>
      </c>
      <c r="O61" s="1">
        <v>0</v>
      </c>
      <c r="R61" s="20">
        <v>0</v>
      </c>
      <c r="S61" s="1">
        <v>0</v>
      </c>
      <c r="T61" s="1">
        <v>135.989</v>
      </c>
      <c r="U61" s="1">
        <v>127.929</v>
      </c>
      <c r="V61" s="1">
        <v>81.823999999999998</v>
      </c>
      <c r="W61" s="157">
        <v>135.69399999999999</v>
      </c>
      <c r="X61" s="157">
        <v>317.971</v>
      </c>
      <c r="Y61" s="157">
        <v>495.077</v>
      </c>
      <c r="Z61" s="157">
        <v>349.06400000000002</v>
      </c>
      <c r="AA61" s="157">
        <v>149.15600000000001</v>
      </c>
      <c r="AB61" s="157">
        <v>57.859000000000002</v>
      </c>
      <c r="AC61" s="157">
        <v>113</v>
      </c>
      <c r="AD61" s="1">
        <v>97.114999999999995</v>
      </c>
      <c r="AE61" s="1">
        <v>120.515</v>
      </c>
      <c r="AF61" s="1">
        <v>103.584</v>
      </c>
      <c r="AG61" s="1">
        <v>110.798</v>
      </c>
      <c r="AH61" s="1">
        <v>106.629</v>
      </c>
      <c r="AI61" s="1">
        <v>108.392</v>
      </c>
      <c r="AK61" s="1">
        <v>193.86099999999999</v>
      </c>
    </row>
    <row r="62" spans="1:37" ht="12.75" customHeight="1">
      <c r="A62" s="30" t="s">
        <v>73</v>
      </c>
      <c r="B62" s="30"/>
      <c r="C62" s="30"/>
      <c r="D62" s="30"/>
      <c r="E62" s="30"/>
      <c r="F62" s="30"/>
      <c r="G62" s="30"/>
      <c r="H62" s="30"/>
      <c r="I62" s="30"/>
      <c r="J62" s="158">
        <v>122.291</v>
      </c>
      <c r="K62" s="30"/>
      <c r="L62" s="30"/>
      <c r="M62" s="30">
        <v>3.9159999999999999</v>
      </c>
      <c r="N62" s="30"/>
      <c r="O62" s="30">
        <v>6.3</v>
      </c>
      <c r="P62" s="30"/>
      <c r="Q62" s="30"/>
      <c r="R62" s="40">
        <v>12.9</v>
      </c>
      <c r="S62" s="30">
        <v>15.097</v>
      </c>
      <c r="T62" s="30">
        <v>102.331</v>
      </c>
      <c r="U62" s="30">
        <v>100.67700000000001</v>
      </c>
      <c r="V62" s="30">
        <v>98.835999999999999</v>
      </c>
      <c r="W62" s="158">
        <v>149.72800000000001</v>
      </c>
      <c r="X62" s="158">
        <v>240.77099999999999</v>
      </c>
      <c r="Y62" s="158">
        <v>250.499</v>
      </c>
      <c r="Z62" s="158">
        <v>172.35</v>
      </c>
      <c r="AA62" s="158">
        <v>433.07600000000002</v>
      </c>
      <c r="AB62" s="158">
        <v>116.96899999999999</v>
      </c>
      <c r="AC62" s="158">
        <v>558</v>
      </c>
      <c r="AD62" s="1">
        <v>221.34200000000001</v>
      </c>
      <c r="AE62" s="1">
        <v>1133.1869999999999</v>
      </c>
      <c r="AF62" s="30">
        <v>1187.375</v>
      </c>
      <c r="AG62" s="30">
        <v>155.35300000000001</v>
      </c>
      <c r="AH62" s="30">
        <v>69.738</v>
      </c>
      <c r="AI62" s="30">
        <v>262.56799999999998</v>
      </c>
      <c r="AJ62" s="30"/>
      <c r="AK62" s="30">
        <v>147.18700000000001</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v>0</v>
      </c>
      <c r="AB63" s="159">
        <v>0</v>
      </c>
      <c r="AC63" s="159">
        <v>0</v>
      </c>
      <c r="AD63" s="159">
        <v>0</v>
      </c>
      <c r="AE63" s="159">
        <v>0</v>
      </c>
      <c r="AF63" s="30">
        <v>0</v>
      </c>
      <c r="AG63" s="30">
        <v>0</v>
      </c>
      <c r="AH63" s="30"/>
      <c r="AI63" s="30"/>
      <c r="AJ63" s="30"/>
      <c r="AK63" s="30"/>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8"/>
  </sheetPr>
  <dimension ref="A1:HB92"/>
  <sheetViews>
    <sheetView zoomScaleNormal="100" workbookViewId="0">
      <pane xSplit="1" ySplit="3" topLeftCell="AC4" activePane="bottomRight" state="frozen"/>
      <selection pane="topRight" activeCell="O44" sqref="O44"/>
      <selection pane="bottomLeft" activeCell="O44" sqref="O44"/>
      <selection pane="bottomRight" activeCell="AK12" sqref="AK12"/>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1.7109375" style="1" bestFit="1" customWidth="1"/>
    <col min="33" max="37" width="11.710937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157</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1">
        <f>74737+45998+296533+2555</f>
        <v>419823</v>
      </c>
      <c r="C4" s="1">
        <f>70426+47115+315687+11355</f>
        <v>444583</v>
      </c>
      <c r="D4" s="1">
        <f>62490+57414+320772+15210</f>
        <v>455886</v>
      </c>
      <c r="I4" s="1">
        <f>104505.919+79485.164+516955.556+23667.075+92536</f>
        <v>817149.71399999992</v>
      </c>
      <c r="J4" s="59">
        <f>+J5+J23+J38+J52+J63</f>
        <v>728148.99499999988</v>
      </c>
      <c r="K4" s="42">
        <f>105249.874+126372.827+518035.901+29338.468</f>
        <v>778997.07</v>
      </c>
      <c r="L4" s="42">
        <f>108550.968+141076.109+588594.278+20028.751</f>
        <v>858250.10600000003</v>
      </c>
      <c r="M4" s="59">
        <f>+M5+M23+M38+M52+M63</f>
        <v>862991.39599999995</v>
      </c>
      <c r="N4" s="42">
        <f>89357.407+148916.949+705462.95+10447.278</f>
        <v>954184.58400000003</v>
      </c>
      <c r="O4" s="59">
        <f>+O5+O23+O38+O52+O63</f>
        <v>1016647.9479500001</v>
      </c>
      <c r="R4" s="59">
        <f t="shared" ref="R4:AA4" si="0">+R5+R23+R38+R52+R63</f>
        <v>1177443.7220000001</v>
      </c>
      <c r="S4" s="59">
        <f t="shared" si="0"/>
        <v>1356132.1939999999</v>
      </c>
      <c r="T4" s="59">
        <f t="shared" si="0"/>
        <v>1436418.8420000002</v>
      </c>
      <c r="U4" s="59">
        <f t="shared" si="0"/>
        <v>1284520.0999999999</v>
      </c>
      <c r="V4" s="59">
        <f t="shared" si="0"/>
        <v>1283966.0109999999</v>
      </c>
      <c r="W4" s="59">
        <f t="shared" si="0"/>
        <v>1252685.6769999999</v>
      </c>
      <c r="X4" s="59">
        <f t="shared" si="0"/>
        <v>1313950.1760000002</v>
      </c>
      <c r="Y4" s="59">
        <f t="shared" si="0"/>
        <v>1477257.4620000001</v>
      </c>
      <c r="Z4" s="59">
        <f t="shared" si="0"/>
        <v>1659723.311</v>
      </c>
      <c r="AA4" s="59">
        <f t="shared" si="0"/>
        <v>1543521.7140000002</v>
      </c>
      <c r="AB4" s="59">
        <f t="shared" ref="AB4:AC4" si="1">+AB5+AB23+AB38+AB52+AB63</f>
        <v>2031087.5619999999</v>
      </c>
      <c r="AC4" s="59">
        <f t="shared" si="1"/>
        <v>2141998</v>
      </c>
      <c r="AD4" s="59">
        <f t="shared" ref="AD4:AE4" si="2">+AD5+AD23+AD38+AD52+AD63</f>
        <v>2074314.96</v>
      </c>
      <c r="AE4" s="59">
        <f t="shared" si="2"/>
        <v>2121920.304</v>
      </c>
      <c r="AF4" s="59">
        <f t="shared" ref="AF4:AG4" si="3">+AF5+AF23+AF38+AF52+AF63</f>
        <v>1417054.25</v>
      </c>
      <c r="AG4" s="59">
        <f t="shared" si="3"/>
        <v>1596140.7820000001</v>
      </c>
      <c r="AH4" s="59">
        <f t="shared" ref="AH4:AI4" si="4">+AH5+AH23+AH38+AH52+AH63</f>
        <v>2087521.0480000002</v>
      </c>
      <c r="AI4" s="59">
        <f t="shared" si="4"/>
        <v>2374948.7129999995</v>
      </c>
      <c r="AJ4" s="59">
        <f t="shared" ref="AJ4:AK4" si="5">+AJ5+AJ23+AJ38+AJ52+AJ63</f>
        <v>0</v>
      </c>
      <c r="AK4" s="59">
        <f t="shared" si="5"/>
        <v>2357044.6520000002</v>
      </c>
    </row>
    <row r="5" spans="1:39" ht="12.75" customHeight="1">
      <c r="A5" s="1" t="s">
        <v>20</v>
      </c>
      <c r="B5" s="58">
        <f>SUM(B7:B22)</f>
        <v>114371</v>
      </c>
      <c r="C5" s="58">
        <f t="shared" ref="C5:AA5" si="6">SUM(C7:C22)</f>
        <v>117292</v>
      </c>
      <c r="D5" s="58">
        <f t="shared" si="6"/>
        <v>117695</v>
      </c>
      <c r="E5" s="58">
        <f t="shared" si="6"/>
        <v>0</v>
      </c>
      <c r="F5" s="58">
        <f t="shared" si="6"/>
        <v>0</v>
      </c>
      <c r="G5" s="58">
        <f t="shared" si="6"/>
        <v>0</v>
      </c>
      <c r="H5" s="58">
        <f t="shared" si="6"/>
        <v>0</v>
      </c>
      <c r="I5" s="58">
        <f t="shared" si="6"/>
        <v>181299.56900000002</v>
      </c>
      <c r="J5" s="58">
        <f t="shared" si="6"/>
        <v>183473.26099999997</v>
      </c>
      <c r="K5" s="58">
        <f t="shared" si="6"/>
        <v>191398.12699999998</v>
      </c>
      <c r="L5" s="58">
        <f t="shared" si="6"/>
        <v>197354.51199999999</v>
      </c>
      <c r="M5" s="58">
        <f t="shared" si="6"/>
        <v>191623.981</v>
      </c>
      <c r="N5" s="58">
        <f t="shared" si="6"/>
        <v>234274.69999999995</v>
      </c>
      <c r="O5" s="58">
        <f t="shared" si="6"/>
        <v>254794.85676000002</v>
      </c>
      <c r="P5" s="58">
        <f t="shared" si="6"/>
        <v>0</v>
      </c>
      <c r="Q5" s="58">
        <f t="shared" si="6"/>
        <v>0</v>
      </c>
      <c r="R5" s="58">
        <f t="shared" si="6"/>
        <v>293490.16499999998</v>
      </c>
      <c r="S5" s="58">
        <f t="shared" si="6"/>
        <v>333922.53599999996</v>
      </c>
      <c r="T5" s="58">
        <f t="shared" si="6"/>
        <v>518543.46299999999</v>
      </c>
      <c r="U5" s="58">
        <f t="shared" si="6"/>
        <v>523158.49</v>
      </c>
      <c r="V5" s="58">
        <f t="shared" si="6"/>
        <v>385763.43</v>
      </c>
      <c r="W5" s="58">
        <f t="shared" si="6"/>
        <v>294980.228</v>
      </c>
      <c r="X5" s="58">
        <f t="shared" si="6"/>
        <v>275773.87899999996</v>
      </c>
      <c r="Y5" s="58">
        <f t="shared" si="6"/>
        <v>346434.46800000005</v>
      </c>
      <c r="Z5" s="58">
        <f t="shared" si="6"/>
        <v>466171.26500000001</v>
      </c>
      <c r="AA5" s="58">
        <f t="shared" si="6"/>
        <v>410302.96500000003</v>
      </c>
      <c r="AB5" s="58">
        <f t="shared" ref="AB5:AC5" si="7">SUM(AB7:AB22)</f>
        <v>614290.23900000006</v>
      </c>
      <c r="AC5" s="58">
        <f t="shared" si="7"/>
        <v>614633</v>
      </c>
      <c r="AD5" s="58">
        <f t="shared" ref="AD5:AE5" si="8">SUM(AD7:AD22)</f>
        <v>563891.57400000002</v>
      </c>
      <c r="AE5" s="58">
        <f t="shared" si="8"/>
        <v>513866.50100000005</v>
      </c>
      <c r="AF5" s="58">
        <f t="shared" ref="AF5:AG5" si="9">SUM(AF7:AF22)</f>
        <v>312941.84399999998</v>
      </c>
      <c r="AG5" s="58">
        <f t="shared" si="9"/>
        <v>400548.49800000002</v>
      </c>
      <c r="AH5" s="58">
        <f t="shared" ref="AH5:AI5" si="10">SUM(AH7:AH22)</f>
        <v>478920.31</v>
      </c>
      <c r="AI5" s="58">
        <f t="shared" si="10"/>
        <v>437737.70499999996</v>
      </c>
      <c r="AJ5" s="58">
        <f t="shared" ref="AJ5:AK5" si="11">SUM(AJ7:AJ22)</f>
        <v>0</v>
      </c>
      <c r="AK5" s="58">
        <f t="shared" si="11"/>
        <v>481437.12000000005</v>
      </c>
    </row>
    <row r="6" spans="1:39" ht="12.75" customHeight="1">
      <c r="A6" s="6" t="s">
        <v>94</v>
      </c>
      <c r="J6" s="157"/>
      <c r="R6" s="20"/>
      <c r="T6" s="51"/>
    </row>
    <row r="7" spans="1:39" ht="12.75" customHeight="1">
      <c r="A7" s="1" t="s">
        <v>21</v>
      </c>
      <c r="B7" s="1">
        <f>2461+493+1908</f>
        <v>4862</v>
      </c>
      <c r="C7" s="1">
        <f>594+1322+3857+0</f>
        <v>5773</v>
      </c>
      <c r="D7" s="1">
        <f>1890+2562+2966+0</f>
        <v>7418</v>
      </c>
      <c r="I7" s="1">
        <f>3620.534+1460.456+3815.598+4.534</f>
        <v>8901.1219999999994</v>
      </c>
      <c r="J7" s="157">
        <v>9509.6560000000009</v>
      </c>
      <c r="K7" s="1">
        <f>5483.396+1165.405+4032.577</f>
        <v>10681.378000000001</v>
      </c>
      <c r="L7" s="1">
        <f>12197.695+1403.998+5678.076</f>
        <v>19279.769</v>
      </c>
      <c r="M7" s="1">
        <v>9302.8590000000004</v>
      </c>
      <c r="N7" s="1">
        <f>0+1384.191+8698.154+0</f>
        <v>10082.345000000001</v>
      </c>
      <c r="O7" s="1">
        <v>8734.7492899999997</v>
      </c>
      <c r="R7" s="27">
        <v>10644.437</v>
      </c>
      <c r="S7" s="1">
        <v>14534.955</v>
      </c>
      <c r="T7" s="51">
        <v>18893.192999999999</v>
      </c>
      <c r="U7" s="1">
        <v>17965.582999999999</v>
      </c>
      <c r="V7" s="1">
        <v>9001.1630000000005</v>
      </c>
      <c r="W7" s="157">
        <v>9791.6389999999992</v>
      </c>
      <c r="X7" s="157">
        <v>12227.656000000001</v>
      </c>
      <c r="Y7" s="157">
        <v>11038.377</v>
      </c>
      <c r="Z7" s="157">
        <v>12521.495999999999</v>
      </c>
      <c r="AA7" s="157">
        <v>13173.084999999999</v>
      </c>
      <c r="AB7" s="157">
        <v>11655.953</v>
      </c>
      <c r="AC7" s="157">
        <v>12416</v>
      </c>
      <c r="AD7" s="1">
        <v>16016.107</v>
      </c>
      <c r="AE7" s="1">
        <v>14015.38</v>
      </c>
      <c r="AF7" s="1">
        <v>11225.647000000001</v>
      </c>
      <c r="AG7" s="1">
        <v>12083.031999999999</v>
      </c>
      <c r="AH7" s="1">
        <v>12511.296</v>
      </c>
      <c r="AI7" s="1">
        <v>11251.444</v>
      </c>
      <c r="AK7" s="1">
        <v>12921.12</v>
      </c>
    </row>
    <row r="8" spans="1:39" ht="12.75" customHeight="1">
      <c r="A8" s="1" t="s">
        <v>22</v>
      </c>
      <c r="B8" s="1">
        <f>234+753</f>
        <v>987</v>
      </c>
      <c r="C8" s="1">
        <f>0+387+878+0</f>
        <v>1265</v>
      </c>
      <c r="D8" s="1">
        <f>0+410+925+0</f>
        <v>1335</v>
      </c>
      <c r="I8" s="1">
        <f>149.996+189.864+1164.098+0</f>
        <v>1503.9580000000001</v>
      </c>
      <c r="J8" s="157">
        <v>1794.721</v>
      </c>
      <c r="K8" s="1">
        <f>19.713+302.394+1507.495</f>
        <v>1829.6019999999999</v>
      </c>
      <c r="L8" s="1">
        <f>22.008+408.142+1537.885</f>
        <v>1968.0349999999999</v>
      </c>
      <c r="M8" s="1">
        <v>2956.6579999999999</v>
      </c>
      <c r="N8" s="1">
        <f>32.724+531.703+2108.681+0</f>
        <v>2673.1080000000002</v>
      </c>
      <c r="O8" s="1">
        <v>3299.0610000000001</v>
      </c>
      <c r="R8" s="27">
        <v>5191.1660000000002</v>
      </c>
      <c r="S8" s="1">
        <v>13870.290999999999</v>
      </c>
      <c r="T8" s="51">
        <v>14304.239</v>
      </c>
      <c r="U8" s="1">
        <v>4311.4390000000003</v>
      </c>
      <c r="V8" s="1">
        <v>8107.799</v>
      </c>
      <c r="W8" s="157">
        <v>7914.9290000000001</v>
      </c>
      <c r="X8" s="157">
        <v>9396.6190000000006</v>
      </c>
      <c r="Y8" s="157">
        <v>13769.107</v>
      </c>
      <c r="Z8" s="157">
        <v>14689.446</v>
      </c>
      <c r="AA8" s="157">
        <v>28222.73</v>
      </c>
      <c r="AB8" s="157">
        <v>22665.433000000001</v>
      </c>
      <c r="AC8" s="157">
        <v>8950</v>
      </c>
      <c r="AD8" s="1">
        <v>9699.6779999999999</v>
      </c>
      <c r="AE8" s="1">
        <v>6988.8010000000004</v>
      </c>
      <c r="AF8" s="1">
        <v>4303.3280000000004</v>
      </c>
      <c r="AG8" s="1">
        <v>6375.4830000000002</v>
      </c>
      <c r="AH8" s="1">
        <v>4955.6260000000002</v>
      </c>
      <c r="AI8" s="1">
        <v>5746.83</v>
      </c>
      <c r="AK8" s="1">
        <v>6245.2420000000002</v>
      </c>
    </row>
    <row r="9" spans="1:39" ht="12.75" customHeight="1">
      <c r="A9" s="1" t="s">
        <v>23</v>
      </c>
      <c r="D9" s="1">
        <f>0+0+0+0</f>
        <v>0</v>
      </c>
      <c r="I9" s="1">
        <v>101.09</v>
      </c>
      <c r="J9" s="157">
        <v>0</v>
      </c>
      <c r="M9" s="1">
        <v>1982.5</v>
      </c>
      <c r="N9" s="1">
        <f>0+0+0+0</f>
        <v>0</v>
      </c>
      <c r="O9" s="1">
        <v>0</v>
      </c>
      <c r="R9" s="27">
        <v>0</v>
      </c>
      <c r="S9" s="38">
        <v>0</v>
      </c>
      <c r="T9" s="52">
        <v>0</v>
      </c>
      <c r="U9" s="38">
        <v>0</v>
      </c>
      <c r="V9" s="38">
        <v>7.3999999999999996E-2</v>
      </c>
      <c r="W9" s="157">
        <v>0</v>
      </c>
      <c r="X9" s="157">
        <v>0</v>
      </c>
      <c r="Y9" s="157">
        <v>0</v>
      </c>
      <c r="Z9" s="157">
        <v>0</v>
      </c>
      <c r="AA9" s="157">
        <v>0</v>
      </c>
      <c r="AB9" s="157">
        <v>0</v>
      </c>
      <c r="AC9" s="157">
        <v>1276</v>
      </c>
      <c r="AD9" s="1">
        <v>8458.31</v>
      </c>
      <c r="AE9" s="1">
        <v>19.998999999999999</v>
      </c>
      <c r="AF9" s="1">
        <v>0</v>
      </c>
      <c r="AG9" s="1">
        <v>0</v>
      </c>
      <c r="AH9" s="1">
        <v>300.00200000000001</v>
      </c>
      <c r="AI9" s="1">
        <v>0</v>
      </c>
      <c r="AK9" s="1">
        <v>0</v>
      </c>
    </row>
    <row r="10" spans="1:39" ht="12.75" customHeight="1">
      <c r="A10" s="1" t="s">
        <v>24</v>
      </c>
      <c r="B10" s="1">
        <f>2876+3509+11049</f>
        <v>17434</v>
      </c>
      <c r="C10" s="1">
        <f>1888+3558+12933+0</f>
        <v>18379</v>
      </c>
      <c r="D10" s="1">
        <f>1793+2953+9975+0</f>
        <v>14721</v>
      </c>
      <c r="I10" s="1">
        <f>1912.855+4482.514+23247.455+14.992</f>
        <v>29657.815999999999</v>
      </c>
      <c r="J10" s="157">
        <v>23011.550999999999</v>
      </c>
      <c r="K10" s="1">
        <f>359.779+5126.467+17494.727</f>
        <v>22980.972999999998</v>
      </c>
      <c r="L10" s="1">
        <f>384.437+5133.99+21754.056</f>
        <v>27272.483</v>
      </c>
      <c r="M10" s="1">
        <v>26271.228999999999</v>
      </c>
      <c r="N10" s="1">
        <f>1085.298+6572.158+41307.792+0</f>
        <v>48965.248</v>
      </c>
      <c r="O10" s="1">
        <v>53773.822999999997</v>
      </c>
      <c r="R10" s="27">
        <v>42808.696000000004</v>
      </c>
      <c r="S10" s="1">
        <v>56925.644</v>
      </c>
      <c r="T10" s="51">
        <v>34984.076999999997</v>
      </c>
      <c r="U10" s="1">
        <v>36948.934000000001</v>
      </c>
      <c r="V10" s="1">
        <v>31947.135999999999</v>
      </c>
      <c r="W10" s="157">
        <v>46183.891000000003</v>
      </c>
      <c r="X10" s="157">
        <v>32987.269999999997</v>
      </c>
      <c r="Y10" s="157">
        <v>36264.194000000003</v>
      </c>
      <c r="Z10" s="157">
        <v>34663.521999999997</v>
      </c>
      <c r="AA10" s="157">
        <v>24914.395</v>
      </c>
      <c r="AB10" s="157">
        <v>124471.586</v>
      </c>
      <c r="AC10" s="157">
        <v>121809</v>
      </c>
      <c r="AD10" s="1">
        <v>41685.218000000001</v>
      </c>
      <c r="AE10" s="1">
        <v>68405.803</v>
      </c>
      <c r="AF10" s="1">
        <v>23713.956999999999</v>
      </c>
      <c r="AG10" s="1">
        <v>74084.744000000006</v>
      </c>
      <c r="AH10" s="1">
        <v>47902.069000000003</v>
      </c>
      <c r="AI10" s="1">
        <v>35187.345000000001</v>
      </c>
      <c r="AK10" s="1">
        <v>81722.304000000004</v>
      </c>
    </row>
    <row r="11" spans="1:39" ht="12.75" customHeight="1">
      <c r="A11" s="1" t="s">
        <v>25</v>
      </c>
      <c r="B11" s="1">
        <f>1164+940</f>
        <v>2104</v>
      </c>
      <c r="C11" s="1">
        <f>0+939+1440+0</f>
        <v>2379</v>
      </c>
      <c r="D11" s="1">
        <f>0+1053+1456+0</f>
        <v>2509</v>
      </c>
      <c r="I11" s="1">
        <f>9189.731+1279.53+6189.019+185.683</f>
        <v>16843.963</v>
      </c>
      <c r="J11" s="157">
        <v>26664.028999999999</v>
      </c>
      <c r="K11" s="1">
        <f>1513.44+2710.24+10155.017</f>
        <v>14378.697</v>
      </c>
      <c r="L11" s="1">
        <f>1937.312+4722.17+9756.458</f>
        <v>16415.940000000002</v>
      </c>
      <c r="M11" s="1">
        <v>18368.241999999998</v>
      </c>
      <c r="N11" s="1">
        <f>1413.913+3785.015+8486.347+0</f>
        <v>13685.275</v>
      </c>
      <c r="O11" s="1">
        <v>15143.01074</v>
      </c>
      <c r="R11" s="27">
        <v>18516.663</v>
      </c>
      <c r="S11" s="1">
        <v>18457.941999999999</v>
      </c>
      <c r="T11" s="51">
        <v>20480.487000000001</v>
      </c>
      <c r="U11" s="1">
        <v>20534.769</v>
      </c>
      <c r="V11" s="1">
        <v>14300.089</v>
      </c>
      <c r="W11" s="157">
        <v>16320.941999999999</v>
      </c>
      <c r="X11" s="157">
        <v>26900.458999999999</v>
      </c>
      <c r="Y11" s="157">
        <v>22572.307000000001</v>
      </c>
      <c r="Z11" s="157">
        <v>37716.730000000003</v>
      </c>
      <c r="AA11" s="157">
        <v>8438.6440000000002</v>
      </c>
      <c r="AB11" s="157">
        <v>85149.164000000004</v>
      </c>
      <c r="AC11" s="157">
        <v>54818</v>
      </c>
      <c r="AD11" s="1">
        <v>81286.815000000002</v>
      </c>
      <c r="AE11" s="1">
        <v>31886.692999999999</v>
      </c>
      <c r="AF11" s="1">
        <v>2890.6689999999999</v>
      </c>
      <c r="AG11" s="1">
        <v>15482.703</v>
      </c>
      <c r="AH11" s="1">
        <v>36617.49</v>
      </c>
      <c r="AI11" s="1">
        <v>8689.16</v>
      </c>
      <c r="AK11" s="1">
        <v>11677.632</v>
      </c>
    </row>
    <row r="12" spans="1:39" ht="12.75" customHeight="1">
      <c r="A12" s="1" t="s">
        <v>26</v>
      </c>
      <c r="B12" s="1">
        <v>66</v>
      </c>
      <c r="C12" s="1">
        <f>0+92+130</f>
        <v>222</v>
      </c>
      <c r="D12" s="1">
        <f>0+310+81+0</f>
        <v>391</v>
      </c>
      <c r="I12" s="1">
        <f>0+1046.409+0+0</f>
        <v>1046.4090000000001</v>
      </c>
      <c r="J12" s="157">
        <v>1150.01</v>
      </c>
      <c r="K12" s="1">
        <f>1518.325+978.065</f>
        <v>2496.3900000000003</v>
      </c>
      <c r="L12" s="1">
        <f>1650.069+20.424</f>
        <v>1670.4929999999999</v>
      </c>
      <c r="M12" s="1">
        <v>1882.115</v>
      </c>
      <c r="N12" s="1">
        <f>0+1953.235+13.595+0</f>
        <v>1966.83</v>
      </c>
      <c r="O12" s="1">
        <v>2324.0540000000001</v>
      </c>
      <c r="R12" s="20">
        <v>7143.7759999999998</v>
      </c>
      <c r="S12" s="1">
        <v>5517.027</v>
      </c>
      <c r="T12" s="51">
        <v>4.4020000000000001</v>
      </c>
      <c r="U12" s="1">
        <v>329.99900000000002</v>
      </c>
      <c r="V12" s="1">
        <v>221.07900000000001</v>
      </c>
      <c r="W12" s="157">
        <v>8941.6740000000009</v>
      </c>
      <c r="X12" s="157">
        <v>11948.433999999999</v>
      </c>
      <c r="Y12" s="157">
        <v>19622.768</v>
      </c>
      <c r="Z12" s="157">
        <v>31512.864000000001</v>
      </c>
      <c r="AA12" s="157">
        <v>61884.19</v>
      </c>
      <c r="AB12" s="157">
        <v>54525.781999999999</v>
      </c>
      <c r="AC12" s="157">
        <v>50650</v>
      </c>
      <c r="AD12" s="1">
        <v>49602.909</v>
      </c>
      <c r="AE12" s="1">
        <v>72396.948000000004</v>
      </c>
      <c r="AF12" s="1">
        <v>20080.52</v>
      </c>
      <c r="AG12" s="1">
        <v>21205.159</v>
      </c>
      <c r="AH12" s="1">
        <v>19787.524000000001</v>
      </c>
      <c r="AI12" s="1">
        <v>12060.335999999999</v>
      </c>
      <c r="AK12" s="1">
        <v>11453.861000000001</v>
      </c>
    </row>
    <row r="13" spans="1:39" ht="12.75" customHeight="1">
      <c r="A13" s="1" t="s">
        <v>27</v>
      </c>
      <c r="B13" s="1">
        <f>8+324</f>
        <v>332</v>
      </c>
      <c r="C13" s="1">
        <f>0+17+331+0</f>
        <v>348</v>
      </c>
      <c r="D13" s="1">
        <f>0+23+347+0</f>
        <v>370</v>
      </c>
      <c r="I13" s="1">
        <f>0+97.937+564.503+0</f>
        <v>662.44</v>
      </c>
      <c r="J13" s="157">
        <v>696.34699999999998</v>
      </c>
      <c r="K13" s="1">
        <f>71.824+704.464</f>
        <v>776.28800000000001</v>
      </c>
      <c r="L13" s="1">
        <f>321.771+19.665+2210.98</f>
        <v>2552.4160000000002</v>
      </c>
      <c r="M13" s="1">
        <v>2059.7139999999999</v>
      </c>
      <c r="N13" s="1">
        <f>0.399+731.629+3544.413+0</f>
        <v>4276.4409999999998</v>
      </c>
      <c r="O13" s="1">
        <v>10350.42367</v>
      </c>
      <c r="R13" s="20">
        <v>8698.51</v>
      </c>
      <c r="S13" s="1">
        <v>2677.2530000000002</v>
      </c>
      <c r="T13" s="51">
        <v>23676.281999999999</v>
      </c>
      <c r="U13" s="1">
        <v>22919.953000000001</v>
      </c>
      <c r="V13" s="1">
        <v>8759.4480000000003</v>
      </c>
      <c r="W13" s="157">
        <v>8336.7379999999994</v>
      </c>
      <c r="X13" s="157">
        <v>8888.2250000000004</v>
      </c>
      <c r="Y13" s="157">
        <v>17286.921999999999</v>
      </c>
      <c r="Z13" s="157">
        <v>20534.312000000002</v>
      </c>
      <c r="AA13" s="157">
        <v>6576.3130000000001</v>
      </c>
      <c r="AB13" s="157">
        <v>18061.594000000001</v>
      </c>
      <c r="AC13" s="157">
        <v>33906</v>
      </c>
      <c r="AD13" s="1">
        <v>16789.521000000001</v>
      </c>
      <c r="AE13" s="1">
        <v>10363.582</v>
      </c>
      <c r="AF13" s="1">
        <v>13385.286</v>
      </c>
      <c r="AG13" s="1">
        <v>9844.7019999999993</v>
      </c>
      <c r="AH13" s="1">
        <v>17702.169999999998</v>
      </c>
      <c r="AI13" s="1">
        <v>7769.56</v>
      </c>
      <c r="AK13" s="1">
        <v>11707.999</v>
      </c>
    </row>
    <row r="14" spans="1:39" ht="12.75" customHeight="1">
      <c r="A14" s="1" t="s">
        <v>28</v>
      </c>
      <c r="B14" s="1">
        <f>152+170+5401</f>
        <v>5723</v>
      </c>
      <c r="C14" s="1">
        <f>160+216+3908+1750</f>
        <v>6034</v>
      </c>
      <c r="D14" s="1">
        <f>161+148+4490+1816</f>
        <v>6615</v>
      </c>
      <c r="I14" s="1">
        <f>3912.034+0+10407.448+0</f>
        <v>14319.482</v>
      </c>
      <c r="J14" s="157">
        <v>8531.3279999999995</v>
      </c>
      <c r="K14" s="1">
        <f>1872.917+9861.494</f>
        <v>11734.411</v>
      </c>
      <c r="L14" s="1">
        <f>2119.858+9884.362</f>
        <v>12004.22</v>
      </c>
      <c r="M14" s="1">
        <v>8868.6980000000003</v>
      </c>
      <c r="N14" s="1">
        <f>1303.367+65.13+16243.795+0</f>
        <v>17612.292000000001</v>
      </c>
      <c r="O14" s="1">
        <v>19157.468000000001</v>
      </c>
      <c r="R14" s="20">
        <v>15474.745000000001</v>
      </c>
      <c r="S14" s="1">
        <v>17070.004000000001</v>
      </c>
      <c r="T14" s="51">
        <v>18116.121999999999</v>
      </c>
      <c r="U14" s="1">
        <v>34276.909</v>
      </c>
      <c r="V14" s="1">
        <v>40808.525999999998</v>
      </c>
      <c r="W14" s="157">
        <v>32221.08</v>
      </c>
      <c r="X14" s="157">
        <v>27371.168000000001</v>
      </c>
      <c r="Y14" s="157">
        <v>45349.822999999997</v>
      </c>
      <c r="Z14" s="157">
        <v>57113.474000000002</v>
      </c>
      <c r="AA14" s="157">
        <v>35850.735000000001</v>
      </c>
      <c r="AB14" s="157">
        <v>38762.453999999998</v>
      </c>
      <c r="AC14" s="157">
        <v>42821</v>
      </c>
      <c r="AD14" s="1">
        <v>49799.446000000004</v>
      </c>
      <c r="AE14" s="1">
        <v>56973.453000000001</v>
      </c>
      <c r="AF14" s="1">
        <v>53031.750999999997</v>
      </c>
      <c r="AG14" s="1">
        <v>47921.069000000003</v>
      </c>
      <c r="AH14" s="1">
        <v>59025.862000000001</v>
      </c>
      <c r="AI14" s="1">
        <v>59868.171000000002</v>
      </c>
      <c r="AK14" s="1">
        <v>53607.334999999999</v>
      </c>
    </row>
    <row r="15" spans="1:39" ht="12.75" customHeight="1">
      <c r="A15" s="1" t="s">
        <v>29</v>
      </c>
      <c r="B15" s="1">
        <f>6282+2167+1841</f>
        <v>10290</v>
      </c>
      <c r="C15" s="1">
        <f>4894+2171+1486+0</f>
        <v>8551</v>
      </c>
      <c r="D15" s="1">
        <f>8393+2905+2404+0</f>
        <v>13702</v>
      </c>
      <c r="I15" s="1">
        <f>9429.348+2209.455+4009.475+0</f>
        <v>15648.278</v>
      </c>
      <c r="J15" s="157">
        <v>15617.114</v>
      </c>
      <c r="K15" s="1">
        <f>4402.83+2340.998+3076.866</f>
        <v>9820.6939999999995</v>
      </c>
      <c r="L15" s="1">
        <f>4514.526+2692.462+2987.491</f>
        <v>10194.478999999999</v>
      </c>
      <c r="M15" s="1">
        <v>10902.531000000001</v>
      </c>
      <c r="N15" s="1">
        <f>4345.554+2021.206+4461.428</f>
        <v>10828.188</v>
      </c>
      <c r="O15" s="1">
        <v>11290.298000000001</v>
      </c>
      <c r="R15" s="20">
        <v>13919.306</v>
      </c>
      <c r="S15" s="1">
        <v>12028.017</v>
      </c>
      <c r="T15" s="51">
        <v>14213.867</v>
      </c>
      <c r="U15" s="1">
        <v>11820.983</v>
      </c>
      <c r="V15" s="1">
        <v>8973.8209999999999</v>
      </c>
      <c r="W15" s="157">
        <v>10540.681</v>
      </c>
      <c r="X15" s="157">
        <v>30117.03</v>
      </c>
      <c r="Y15" s="157">
        <v>15876.163</v>
      </c>
      <c r="Z15" s="157">
        <v>46012.061999999998</v>
      </c>
      <c r="AA15" s="157">
        <v>30316.026999999998</v>
      </c>
      <c r="AB15" s="157">
        <v>35760.85</v>
      </c>
      <c r="AC15" s="157">
        <v>35516</v>
      </c>
      <c r="AD15" s="1">
        <v>11321.321</v>
      </c>
      <c r="AE15" s="1">
        <v>12447.615</v>
      </c>
      <c r="AF15" s="1">
        <v>9351.9750000000004</v>
      </c>
      <c r="AG15" s="1">
        <v>10765.191999999999</v>
      </c>
      <c r="AH15" s="1">
        <v>16554.916000000001</v>
      </c>
      <c r="AI15" s="1">
        <v>17399.067999999999</v>
      </c>
      <c r="AK15" s="1">
        <v>18865.222000000002</v>
      </c>
    </row>
    <row r="16" spans="1:39" ht="12.75" customHeight="1">
      <c r="A16" s="1" t="s">
        <v>30</v>
      </c>
      <c r="B16" s="1">
        <f>1025+623+1988</f>
        <v>3636</v>
      </c>
      <c r="C16" s="1">
        <f>1167+662+1934+0</f>
        <v>3763</v>
      </c>
      <c r="D16" s="1">
        <f>1724+754+1475+93</f>
        <v>4046</v>
      </c>
      <c r="I16" s="1">
        <f>3442.119+361.256+4615.388+5.973</f>
        <v>8424.735999999999</v>
      </c>
      <c r="J16" s="157">
        <v>10335.852999999999</v>
      </c>
      <c r="K16" s="1">
        <f>6374.571+3479.765+4258.504</f>
        <v>14112.84</v>
      </c>
      <c r="L16" s="1">
        <f>4862.572+620.171+4440.946</f>
        <v>9923.6890000000003</v>
      </c>
      <c r="M16" s="1">
        <v>14798.263000000001</v>
      </c>
      <c r="N16" s="1">
        <f>7057.526+1701.566+6561.396+80.94</f>
        <v>15401.428000000002</v>
      </c>
      <c r="O16" s="1">
        <v>14704.86514</v>
      </c>
      <c r="R16" s="20">
        <v>18332.52</v>
      </c>
      <c r="S16" s="1">
        <v>19017.215</v>
      </c>
      <c r="T16" s="1">
        <v>34407.506999999998</v>
      </c>
      <c r="U16" s="1">
        <v>19746.986000000001</v>
      </c>
      <c r="V16" s="1">
        <v>38328.472000000002</v>
      </c>
      <c r="W16" s="157">
        <v>28761.738000000001</v>
      </c>
      <c r="X16" s="157">
        <v>8014.4040000000005</v>
      </c>
      <c r="Y16" s="157">
        <v>16312.986000000001</v>
      </c>
      <c r="Z16" s="157">
        <v>25024.833999999999</v>
      </c>
      <c r="AA16" s="157">
        <v>35111.705000000002</v>
      </c>
      <c r="AB16" s="157">
        <v>40586.160000000003</v>
      </c>
      <c r="AC16" s="157">
        <v>20923</v>
      </c>
      <c r="AD16" s="1">
        <v>29235.784</v>
      </c>
      <c r="AE16" s="1">
        <v>38997.684999999998</v>
      </c>
      <c r="AF16" s="1">
        <v>22079.216</v>
      </c>
      <c r="AG16" s="1">
        <v>26383.308000000001</v>
      </c>
      <c r="AH16" s="1">
        <v>89136.956000000006</v>
      </c>
      <c r="AI16" s="1">
        <v>28495.179</v>
      </c>
      <c r="AK16" s="1">
        <v>32709.25</v>
      </c>
    </row>
    <row r="17" spans="1:37" ht="12.75" customHeight="1">
      <c r="A17" s="1" t="s">
        <v>31</v>
      </c>
      <c r="B17" s="1">
        <f>121+132+1108</f>
        <v>1361</v>
      </c>
      <c r="C17" s="1">
        <f>88+171+1221+0</f>
        <v>1480</v>
      </c>
      <c r="D17" s="1">
        <f>121+242+1565+0</f>
        <v>1928</v>
      </c>
      <c r="I17" s="1">
        <f>364.155+581.184+2296.716+0</f>
        <v>3242.0549999999998</v>
      </c>
      <c r="J17" s="157">
        <v>3448.8020000000001</v>
      </c>
      <c r="K17" s="1">
        <f>4756.616+504.085+3004.722</f>
        <v>8265.4230000000007</v>
      </c>
      <c r="L17" s="1">
        <f>4698.796+457.416+4615.187</f>
        <v>9771.3990000000013</v>
      </c>
      <c r="M17" s="1">
        <v>9355.8389999999999</v>
      </c>
      <c r="N17" s="1">
        <f>4756.763+478.48+4476.508+0</f>
        <v>9711.7510000000002</v>
      </c>
      <c r="O17" s="1">
        <v>12415.068780000001</v>
      </c>
      <c r="R17" s="20">
        <v>5975.3850000000002</v>
      </c>
      <c r="S17" s="1">
        <v>16856.713</v>
      </c>
      <c r="T17" s="1">
        <v>8461.0840000000007</v>
      </c>
      <c r="U17" s="1">
        <v>10376.133</v>
      </c>
      <c r="V17" s="1">
        <v>14287.983</v>
      </c>
      <c r="W17" s="157">
        <v>15723.288</v>
      </c>
      <c r="X17" s="157">
        <v>12795.138999999999</v>
      </c>
      <c r="Y17" s="157">
        <v>16119</v>
      </c>
      <c r="Z17" s="157">
        <v>25399.913</v>
      </c>
      <c r="AA17" s="157">
        <v>24598.957999999999</v>
      </c>
      <c r="AB17" s="157">
        <v>23579.116000000002</v>
      </c>
      <c r="AC17" s="157">
        <v>30355</v>
      </c>
      <c r="AD17" s="1">
        <v>30647.117999999999</v>
      </c>
      <c r="AE17" s="1">
        <v>25339.206999999999</v>
      </c>
      <c r="AF17" s="1">
        <v>33325.71</v>
      </c>
      <c r="AG17" s="1">
        <v>31389.040000000001</v>
      </c>
      <c r="AH17" s="1">
        <v>35467.127999999997</v>
      </c>
      <c r="AI17" s="1">
        <v>26617.834999999999</v>
      </c>
      <c r="AK17" s="1">
        <v>28446.969000000001</v>
      </c>
    </row>
    <row r="18" spans="1:37" ht="12.75" customHeight="1">
      <c r="A18" s="1" t="s">
        <v>32</v>
      </c>
      <c r="B18" s="1">
        <f>1827+583+2383</f>
        <v>4793</v>
      </c>
      <c r="C18" s="1">
        <f>945+548+3248+0</f>
        <v>4741</v>
      </c>
      <c r="D18" s="1">
        <f>726+430+2511+0</f>
        <v>3667</v>
      </c>
      <c r="I18" s="1">
        <f>912.777+909.221+3882.184+0</f>
        <v>5704.1820000000007</v>
      </c>
      <c r="J18" s="157">
        <v>4784.2780000000002</v>
      </c>
      <c r="K18" s="1">
        <f>1320.035+3151.747</f>
        <v>4471.7820000000002</v>
      </c>
      <c r="L18" s="1">
        <f>1292.288+3499.896</f>
        <v>4792.1840000000002</v>
      </c>
      <c r="M18" s="1">
        <v>5845.5519999999997</v>
      </c>
      <c r="N18" s="1">
        <f>0+1846.364+5134.909+0</f>
        <v>6981.2729999999992</v>
      </c>
      <c r="O18" s="1">
        <v>7096.8440000000001</v>
      </c>
      <c r="R18" s="20">
        <v>8392.8729999999996</v>
      </c>
      <c r="S18" s="1">
        <v>8709.4889999999996</v>
      </c>
      <c r="T18" s="1">
        <v>10141.880999999999</v>
      </c>
      <c r="U18" s="1">
        <v>20630.5</v>
      </c>
      <c r="V18" s="1">
        <v>7118.1040000000003</v>
      </c>
      <c r="W18" s="157">
        <v>7202.9449999999997</v>
      </c>
      <c r="X18" s="157">
        <v>8439.2070000000003</v>
      </c>
      <c r="Y18" s="157">
        <v>10255.948</v>
      </c>
      <c r="Z18" s="157">
        <v>11747.386</v>
      </c>
      <c r="AA18" s="157">
        <v>10620.472</v>
      </c>
      <c r="AB18" s="157">
        <v>16645.435000000001</v>
      </c>
      <c r="AC18" s="157">
        <v>30362</v>
      </c>
      <c r="AD18" s="1">
        <v>20629.394</v>
      </c>
      <c r="AE18" s="1">
        <v>22220.621999999999</v>
      </c>
      <c r="AF18" s="1">
        <v>16205.987999999999</v>
      </c>
      <c r="AG18" s="1">
        <v>20496.794000000002</v>
      </c>
      <c r="AH18" s="1">
        <v>23952.973999999998</v>
      </c>
      <c r="AI18" s="1">
        <v>19167.330999999998</v>
      </c>
      <c r="AK18" s="1">
        <v>24106.969000000001</v>
      </c>
    </row>
    <row r="19" spans="1:37" ht="12.75" customHeight="1">
      <c r="A19" s="1" t="s">
        <v>33</v>
      </c>
      <c r="B19" s="1">
        <f>2724+730+2567</f>
        <v>6021</v>
      </c>
      <c r="C19" s="1">
        <f>2718+890+2411+0</f>
        <v>6019</v>
      </c>
      <c r="D19" s="1">
        <f>1674+951+2291+0</f>
        <v>4916</v>
      </c>
      <c r="I19" s="1">
        <f>1333.35+1365.063+3113.868+0</f>
        <v>5812.2809999999999</v>
      </c>
      <c r="J19" s="157">
        <v>5238.1480000000001</v>
      </c>
      <c r="K19" s="1">
        <f>129.21+1468.169+2620.528</f>
        <v>4217.9070000000002</v>
      </c>
      <c r="L19" s="1">
        <f>1737.588+2810.174</f>
        <v>4547.7619999999997</v>
      </c>
      <c r="M19" s="1">
        <v>5405.2910000000002</v>
      </c>
      <c r="N19" s="1">
        <f>0+1977.151+3933.255+0</f>
        <v>5910.4059999999999</v>
      </c>
      <c r="O19" s="1">
        <v>7381.5129999999999</v>
      </c>
      <c r="R19" s="27">
        <v>6804.335</v>
      </c>
      <c r="S19" s="1">
        <v>7955.8429999999998</v>
      </c>
      <c r="T19" s="1">
        <v>7647.6319999999996</v>
      </c>
      <c r="U19" s="1">
        <v>6526.9620000000004</v>
      </c>
      <c r="V19" s="1">
        <v>5586.43</v>
      </c>
      <c r="W19" s="157">
        <v>5931.009</v>
      </c>
      <c r="X19" s="157">
        <v>6401.7979999999998</v>
      </c>
      <c r="Y19" s="157">
        <v>10019.624</v>
      </c>
      <c r="Z19" s="157">
        <v>8818.2659999999996</v>
      </c>
      <c r="AA19" s="157">
        <v>9138.5540000000001</v>
      </c>
      <c r="AB19" s="157">
        <v>10606.56</v>
      </c>
      <c r="AC19" s="157">
        <v>6761</v>
      </c>
      <c r="AD19" s="1">
        <v>9937.7119999999995</v>
      </c>
      <c r="AE19" s="1">
        <v>7832.5469999999996</v>
      </c>
      <c r="AF19" s="1">
        <v>7840.9889999999996</v>
      </c>
      <c r="AG19" s="1">
        <v>8621.2569999999996</v>
      </c>
      <c r="AH19" s="1">
        <v>10464.966</v>
      </c>
      <c r="AI19" s="1">
        <v>13884.962</v>
      </c>
      <c r="AK19" s="1">
        <v>15789.34</v>
      </c>
    </row>
    <row r="20" spans="1:37" ht="12.75" customHeight="1">
      <c r="A20" s="1" t="s">
        <v>34</v>
      </c>
      <c r="B20" s="1">
        <f>1088+6845+45254</f>
        <v>53187</v>
      </c>
      <c r="C20" s="1">
        <f>1242+5018+47952+561</f>
        <v>54773</v>
      </c>
      <c r="D20" s="1">
        <f>1205+5850+44037+576</f>
        <v>51668</v>
      </c>
      <c r="I20" s="1">
        <f>3115.462+7346.544+53205.368+1601.735</f>
        <v>65269.109000000004</v>
      </c>
      <c r="J20" s="157">
        <v>68523.649999999994</v>
      </c>
      <c r="K20" s="1">
        <f>3751.584+7662.334+59897.203+8083.166</f>
        <v>79394.286999999997</v>
      </c>
      <c r="L20" s="1">
        <f>416.148+13932.198+58359.486</f>
        <v>72707.831999999995</v>
      </c>
      <c r="M20" s="1">
        <v>68733.373999999996</v>
      </c>
      <c r="N20" s="1">
        <f>29.556+8361.041+71499.423+0</f>
        <v>79890.01999999999</v>
      </c>
      <c r="O20" s="1">
        <v>82909.028000000006</v>
      </c>
      <c r="R20" s="20">
        <v>122892.06600000001</v>
      </c>
      <c r="S20" s="1">
        <v>130339.20600000001</v>
      </c>
      <c r="T20" s="1">
        <v>298470.875</v>
      </c>
      <c r="U20" s="1">
        <v>300995.76899999997</v>
      </c>
      <c r="V20" s="1">
        <v>182805.522</v>
      </c>
      <c r="W20" s="157">
        <v>76818.509999999995</v>
      </c>
      <c r="X20" s="157">
        <v>51700.220999999998</v>
      </c>
      <c r="Y20" s="157">
        <v>72795.332999999999</v>
      </c>
      <c r="Z20" s="157">
        <v>96103.315000000002</v>
      </c>
      <c r="AA20" s="157">
        <v>93139.337</v>
      </c>
      <c r="AB20" s="157">
        <v>87171.129000000001</v>
      </c>
      <c r="AC20" s="157">
        <v>102427</v>
      </c>
      <c r="AD20" s="1">
        <v>94306.182000000001</v>
      </c>
      <c r="AE20" s="1">
        <v>94569.5</v>
      </c>
      <c r="AF20" s="1">
        <v>58117.881999999998</v>
      </c>
      <c r="AG20" s="1">
        <v>86051.178</v>
      </c>
      <c r="AH20" s="1">
        <v>74600.520999999993</v>
      </c>
      <c r="AI20" s="1">
        <v>135011.00700000001</v>
      </c>
      <c r="AK20" s="1">
        <v>138942.878</v>
      </c>
    </row>
    <row r="21" spans="1:37" ht="12.75" customHeight="1">
      <c r="A21" s="1" t="s">
        <v>35</v>
      </c>
      <c r="B21" s="1">
        <f>1715+42+947</f>
        <v>2704</v>
      </c>
      <c r="C21" s="1">
        <f>0+84+2625+0</f>
        <v>2709</v>
      </c>
      <c r="D21" s="1">
        <f>0+186+2930+0</f>
        <v>3116</v>
      </c>
      <c r="I21" s="1">
        <f>0+306.426+3121.584+0</f>
        <v>3428.0099999999998</v>
      </c>
      <c r="J21" s="157">
        <v>3254.433</v>
      </c>
      <c r="K21" s="1">
        <f>340.612+4292.843</f>
        <v>4633.4549999999999</v>
      </c>
      <c r="L21" s="1">
        <f>232.564+3296.929</f>
        <v>3529.4929999999999</v>
      </c>
      <c r="M21" s="1">
        <v>3899.9180000000001</v>
      </c>
      <c r="N21" s="1">
        <f>0+289.923+5040.02+0</f>
        <v>5329.9430000000002</v>
      </c>
      <c r="O21" s="1">
        <v>4876.4129999999996</v>
      </c>
      <c r="R21" s="20">
        <v>7536.7629999999999</v>
      </c>
      <c r="S21" s="1">
        <v>8021.473</v>
      </c>
      <c r="T21" s="1">
        <v>13968.973</v>
      </c>
      <c r="U21" s="1">
        <v>14459.21</v>
      </c>
      <c r="V21" s="1">
        <v>14490.145</v>
      </c>
      <c r="W21" s="157">
        <v>14371.941999999999</v>
      </c>
      <c r="X21" s="157">
        <v>19105.741999999998</v>
      </c>
      <c r="Y21" s="157">
        <v>25035.758000000002</v>
      </c>
      <c r="Z21" s="157">
        <v>36510.364000000001</v>
      </c>
      <c r="AA21" s="157">
        <v>22093.330999999998</v>
      </c>
      <c r="AB21" s="157">
        <v>26020.657999999999</v>
      </c>
      <c r="AC21" s="157">
        <v>48125</v>
      </c>
      <c r="AD21" s="1">
        <v>65448.754000000001</v>
      </c>
      <c r="AE21" s="1">
        <v>37389.379999999997</v>
      </c>
      <c r="AF21" s="1">
        <v>31534.468000000001</v>
      </c>
      <c r="AG21" s="1">
        <v>24486.602999999999</v>
      </c>
      <c r="AH21" s="1">
        <v>24698.86</v>
      </c>
      <c r="AI21" s="1">
        <v>36463.055999999997</v>
      </c>
      <c r="AK21" s="1">
        <v>26738.819</v>
      </c>
    </row>
    <row r="22" spans="1:37" ht="12.75" customHeight="1">
      <c r="A22" s="30" t="s">
        <v>36</v>
      </c>
      <c r="B22" s="30">
        <f>194+677</f>
        <v>871</v>
      </c>
      <c r="C22" s="30">
        <f>0+190+666</f>
        <v>856</v>
      </c>
      <c r="D22" s="30">
        <f>0+185+1108+0</f>
        <v>1293</v>
      </c>
      <c r="E22" s="30"/>
      <c r="F22" s="30"/>
      <c r="G22" s="30"/>
      <c r="H22" s="30"/>
      <c r="I22" s="30">
        <f>0+253.393+481.245+0</f>
        <v>734.63800000000003</v>
      </c>
      <c r="J22" s="158">
        <v>913.34100000000001</v>
      </c>
      <c r="K22" s="30">
        <f>152+277+1175</f>
        <v>1604</v>
      </c>
      <c r="L22" s="30">
        <f>229.652+494.666</f>
        <v>724.31799999999998</v>
      </c>
      <c r="M22" s="30">
        <v>991.19799999999998</v>
      </c>
      <c r="N22" s="30">
        <f>0+232.312+727.84+0</f>
        <v>960.15200000000004</v>
      </c>
      <c r="O22" s="30">
        <v>1338.23714</v>
      </c>
      <c r="P22" s="30"/>
      <c r="Q22" s="30"/>
      <c r="R22" s="30">
        <v>1158.924</v>
      </c>
      <c r="S22" s="30">
        <v>1941.4639999999999</v>
      </c>
      <c r="T22" s="30">
        <v>772.84199999999998</v>
      </c>
      <c r="U22" s="30">
        <v>1314.3610000000001</v>
      </c>
      <c r="V22" s="30">
        <v>1027.6389999999999</v>
      </c>
      <c r="W22" s="158">
        <v>5919.2219999999998</v>
      </c>
      <c r="X22" s="158">
        <v>9480.5069999999996</v>
      </c>
      <c r="Y22" s="158">
        <v>14116.157999999999</v>
      </c>
      <c r="Z22" s="158">
        <v>7803.2809999999999</v>
      </c>
      <c r="AA22" s="158">
        <v>6224.4889999999996</v>
      </c>
      <c r="AB22" s="158">
        <v>18628.365000000002</v>
      </c>
      <c r="AC22" s="158">
        <v>13518</v>
      </c>
      <c r="AD22" s="30">
        <v>29027.305</v>
      </c>
      <c r="AE22" s="30">
        <v>14019.286</v>
      </c>
      <c r="AF22" s="30">
        <v>5854.4579999999996</v>
      </c>
      <c r="AG22" s="30">
        <v>5358.2340000000004</v>
      </c>
      <c r="AH22" s="30">
        <v>5241.95</v>
      </c>
      <c r="AI22" s="30">
        <v>20126.420999999998</v>
      </c>
      <c r="AJ22" s="30"/>
      <c r="AK22" s="30">
        <v>6502.18</v>
      </c>
    </row>
    <row r="23" spans="1:37" ht="12.75" customHeight="1">
      <c r="A23" s="6" t="s">
        <v>37</v>
      </c>
      <c r="B23" s="58">
        <f>SUM(B25:B37)</f>
        <v>0</v>
      </c>
      <c r="C23" s="58">
        <f t="shared" ref="C23:AE23" si="12">SUM(C25:C37)</f>
        <v>0</v>
      </c>
      <c r="D23" s="58">
        <f t="shared" si="12"/>
        <v>0</v>
      </c>
      <c r="E23" s="58">
        <f t="shared" si="12"/>
        <v>0</v>
      </c>
      <c r="F23" s="58">
        <f t="shared" si="12"/>
        <v>0</v>
      </c>
      <c r="G23" s="58">
        <f t="shared" si="12"/>
        <v>0</v>
      </c>
      <c r="H23" s="58">
        <f t="shared" si="12"/>
        <v>0</v>
      </c>
      <c r="I23" s="58">
        <f t="shared" si="12"/>
        <v>0</v>
      </c>
      <c r="J23" s="58">
        <f t="shared" si="12"/>
        <v>228764.75899999999</v>
      </c>
      <c r="K23" s="58">
        <f t="shared" si="12"/>
        <v>0</v>
      </c>
      <c r="L23" s="58">
        <f t="shared" si="12"/>
        <v>0</v>
      </c>
      <c r="M23" s="58">
        <f t="shared" si="12"/>
        <v>292226.66700000002</v>
      </c>
      <c r="N23" s="58">
        <f t="shared" si="12"/>
        <v>0</v>
      </c>
      <c r="O23" s="58">
        <f t="shared" si="12"/>
        <v>332590.48249000002</v>
      </c>
      <c r="P23" s="58">
        <f t="shared" si="12"/>
        <v>0</v>
      </c>
      <c r="Q23" s="58">
        <f t="shared" si="12"/>
        <v>0</v>
      </c>
      <c r="R23" s="58">
        <f t="shared" si="12"/>
        <v>355233.44900000002</v>
      </c>
      <c r="S23" s="58">
        <f t="shared" si="12"/>
        <v>360540.97</v>
      </c>
      <c r="T23" s="58">
        <f t="shared" si="12"/>
        <v>415250.45999999996</v>
      </c>
      <c r="U23" s="58">
        <f t="shared" si="12"/>
        <v>390732.6</v>
      </c>
      <c r="V23" s="58">
        <f t="shared" si="12"/>
        <v>462001.86200000002</v>
      </c>
      <c r="W23" s="58">
        <f t="shared" si="12"/>
        <v>505035.35700000002</v>
      </c>
      <c r="X23" s="58">
        <f t="shared" si="12"/>
        <v>574520.71500000008</v>
      </c>
      <c r="Y23" s="58">
        <f t="shared" si="12"/>
        <v>663853.18400000001</v>
      </c>
      <c r="Z23" s="58">
        <f t="shared" si="12"/>
        <v>668102.00500000012</v>
      </c>
      <c r="AA23" s="58">
        <f t="shared" si="12"/>
        <v>624774.95900000015</v>
      </c>
      <c r="AB23" s="58">
        <f t="shared" si="12"/>
        <v>671083.90700000001</v>
      </c>
      <c r="AC23" s="58">
        <f t="shared" si="12"/>
        <v>727531</v>
      </c>
      <c r="AD23" s="58">
        <f t="shared" si="12"/>
        <v>759786.61800000002</v>
      </c>
      <c r="AE23" s="58">
        <f t="shared" si="12"/>
        <v>907755.18700000015</v>
      </c>
      <c r="AF23" s="58">
        <f>SUM(AF26:AF37)</f>
        <v>572644.74199999997</v>
      </c>
      <c r="AG23" s="58">
        <f>SUM(AG26:AG37)</f>
        <v>550188.81900000002</v>
      </c>
      <c r="AH23" s="58">
        <f>SUM(AH26:AH37)</f>
        <v>875767.26100000006</v>
      </c>
      <c r="AI23" s="58">
        <f>SUM(AI26:AI37)</f>
        <v>1133933.6259999997</v>
      </c>
      <c r="AJ23" s="58">
        <f t="shared" ref="AJ23:AK23" si="13">SUM(AJ26:AJ37)</f>
        <v>0</v>
      </c>
      <c r="AK23" s="58">
        <f t="shared" si="13"/>
        <v>1036625.426</v>
      </c>
    </row>
    <row r="24" spans="1:37" ht="12.75" customHeight="1">
      <c r="A24" s="6" t="s">
        <v>94</v>
      </c>
    </row>
    <row r="25" spans="1:37" ht="12.75" customHeight="1">
      <c r="A25" s="1" t="s">
        <v>38</v>
      </c>
      <c r="J25" s="157">
        <v>82.611000000000004</v>
      </c>
      <c r="M25" s="1">
        <v>91.191999999999993</v>
      </c>
      <c r="O25" s="1">
        <v>206.947</v>
      </c>
      <c r="R25" s="20">
        <v>100.355</v>
      </c>
      <c r="S25" s="1">
        <v>94.042000000000002</v>
      </c>
      <c r="T25" s="1">
        <v>1471.827</v>
      </c>
      <c r="U25" s="1">
        <v>1509.991</v>
      </c>
      <c r="V25" s="1">
        <v>1528.6769999999999</v>
      </c>
      <c r="W25" s="157">
        <v>141.50299999999999</v>
      </c>
      <c r="X25" s="157">
        <v>456.077</v>
      </c>
      <c r="Y25" s="157">
        <v>125.139</v>
      </c>
      <c r="Z25" s="157">
        <v>156.78200000000001</v>
      </c>
      <c r="AA25" s="157">
        <v>649.47500000000002</v>
      </c>
      <c r="AB25" s="157">
        <v>169.62</v>
      </c>
      <c r="AC25" s="157">
        <v>151</v>
      </c>
      <c r="AD25" s="1">
        <v>225.45400000000001</v>
      </c>
      <c r="AE25" s="1">
        <v>3047.297</v>
      </c>
      <c r="AG25" s="1">
        <v>0</v>
      </c>
      <c r="AH25" s="1">
        <v>122.121</v>
      </c>
      <c r="AI25" s="1">
        <v>84.466999999999999</v>
      </c>
      <c r="AK25" s="1">
        <v>138.75200000000001</v>
      </c>
    </row>
    <row r="26" spans="1:37" ht="12.75" customHeight="1">
      <c r="A26" s="1" t="s">
        <v>39</v>
      </c>
      <c r="J26" s="157">
        <v>13782.102000000001</v>
      </c>
      <c r="M26" s="1">
        <v>15688.821</v>
      </c>
      <c r="O26" s="1">
        <v>25333.031149999999</v>
      </c>
      <c r="R26" s="20">
        <v>31038.098000000002</v>
      </c>
      <c r="S26" s="1">
        <v>34524.69</v>
      </c>
      <c r="T26" s="1">
        <v>42605.694000000003</v>
      </c>
      <c r="U26" s="1">
        <v>63198.646000000001</v>
      </c>
      <c r="V26" s="1">
        <v>62422.936000000002</v>
      </c>
      <c r="W26" s="157">
        <v>65508.516000000003</v>
      </c>
      <c r="X26" s="157">
        <v>68851.517000000007</v>
      </c>
      <c r="Y26" s="157">
        <v>65943.981</v>
      </c>
      <c r="Z26" s="157">
        <v>21477.850999999999</v>
      </c>
      <c r="AA26" s="157">
        <v>25677.757000000001</v>
      </c>
      <c r="AB26" s="157">
        <v>23587.541000000001</v>
      </c>
      <c r="AC26" s="157">
        <v>26434</v>
      </c>
      <c r="AD26" s="1">
        <v>24244.194</v>
      </c>
      <c r="AE26" s="1">
        <v>26036.076000000001</v>
      </c>
      <c r="AF26" s="1">
        <v>15545.759</v>
      </c>
      <c r="AG26" s="1">
        <v>16548.061000000002</v>
      </c>
      <c r="AH26" s="1">
        <v>43244.665999999997</v>
      </c>
      <c r="AI26" s="1">
        <v>36331.839999999997</v>
      </c>
      <c r="AK26" s="1">
        <v>29900.66</v>
      </c>
    </row>
    <row r="27" spans="1:37" ht="12.75" customHeight="1">
      <c r="A27" s="1" t="s">
        <v>40</v>
      </c>
      <c r="J27" s="157">
        <v>132424.48000000001</v>
      </c>
      <c r="M27" s="1">
        <v>189121.943</v>
      </c>
      <c r="O27" s="1">
        <v>203087.01594000001</v>
      </c>
      <c r="R27" s="20">
        <v>184589.23199999999</v>
      </c>
      <c r="S27" s="1">
        <v>172774.22899999999</v>
      </c>
      <c r="T27" s="1">
        <v>188898.677</v>
      </c>
      <c r="U27" s="1">
        <v>182034.93400000001</v>
      </c>
      <c r="V27" s="1">
        <v>181702.769</v>
      </c>
      <c r="W27" s="157">
        <v>257082.117</v>
      </c>
      <c r="X27" s="157">
        <v>276358.19500000001</v>
      </c>
      <c r="Y27" s="157">
        <v>408245.59100000001</v>
      </c>
      <c r="Z27" s="157">
        <v>445366.16600000003</v>
      </c>
      <c r="AA27" s="157">
        <v>303875.217</v>
      </c>
      <c r="AB27" s="157">
        <v>258854.94099999999</v>
      </c>
      <c r="AC27" s="157">
        <v>417162</v>
      </c>
      <c r="AD27" s="1">
        <v>428914.33</v>
      </c>
      <c r="AE27" s="1">
        <v>453799.43699999998</v>
      </c>
      <c r="AF27" s="1">
        <v>303295.51</v>
      </c>
      <c r="AG27" s="1">
        <v>325012.61499999999</v>
      </c>
      <c r="AH27" s="1">
        <v>537892.70400000003</v>
      </c>
      <c r="AI27" s="1">
        <v>700354.73</v>
      </c>
      <c r="AK27" s="1">
        <v>722432.32799999998</v>
      </c>
    </row>
    <row r="28" spans="1:37" ht="12.75" customHeight="1">
      <c r="A28" s="1" t="s">
        <v>41</v>
      </c>
      <c r="J28" s="157">
        <v>4611.0529999999999</v>
      </c>
      <c r="M28" s="1">
        <v>3570.2559999999999</v>
      </c>
      <c r="O28" s="1">
        <v>4207.058</v>
      </c>
      <c r="R28" s="20">
        <v>8758.9120000000003</v>
      </c>
      <c r="S28" s="1">
        <v>7915.71</v>
      </c>
      <c r="T28" s="1">
        <v>16788.883999999998</v>
      </c>
      <c r="U28" s="1">
        <v>17523.562000000002</v>
      </c>
      <c r="V28" s="1">
        <v>12042.127</v>
      </c>
      <c r="W28" s="157">
        <v>13708.079</v>
      </c>
      <c r="X28" s="157">
        <v>28405.584999999999</v>
      </c>
      <c r="Y28" s="157">
        <v>24059.861000000001</v>
      </c>
      <c r="Z28" s="157">
        <v>28294.706999999999</v>
      </c>
      <c r="AA28" s="157">
        <v>53345.692000000003</v>
      </c>
      <c r="AB28" s="157">
        <v>72608.243000000002</v>
      </c>
      <c r="AC28" s="157">
        <v>42141</v>
      </c>
      <c r="AD28" s="1">
        <v>34121.321000000004</v>
      </c>
      <c r="AE28" s="1">
        <v>35327.777000000002</v>
      </c>
      <c r="AF28" s="1">
        <v>13470.731</v>
      </c>
      <c r="AG28" s="1">
        <v>11723.71</v>
      </c>
      <c r="AH28" s="1">
        <v>64583.218999999997</v>
      </c>
      <c r="AI28" s="1">
        <v>64420.646000000001</v>
      </c>
      <c r="AK28" s="1">
        <v>70598.25</v>
      </c>
    </row>
    <row r="29" spans="1:37" ht="12.75" customHeight="1">
      <c r="A29" s="1" t="s">
        <v>42</v>
      </c>
      <c r="J29" s="157">
        <v>1771.703</v>
      </c>
      <c r="M29" s="1">
        <v>2638.9870000000001</v>
      </c>
      <c r="O29" s="1">
        <v>2765.7559999999999</v>
      </c>
      <c r="R29" s="20">
        <v>3344.2849999999999</v>
      </c>
      <c r="S29" s="1">
        <v>3068.27</v>
      </c>
      <c r="T29" s="1">
        <v>36992.828000000001</v>
      </c>
      <c r="U29" s="1">
        <v>2884.3780000000002</v>
      </c>
      <c r="V29" s="1">
        <v>3230.5630000000001</v>
      </c>
      <c r="W29" s="157">
        <v>2238.4749999999999</v>
      </c>
      <c r="X29" s="157">
        <v>5373.799</v>
      </c>
      <c r="Y29" s="157">
        <v>5261.5510000000004</v>
      </c>
      <c r="Z29" s="157">
        <v>7808.7219999999998</v>
      </c>
      <c r="AA29" s="157">
        <v>22924.234</v>
      </c>
      <c r="AB29" s="157">
        <v>6222.8710000000001</v>
      </c>
      <c r="AC29" s="157">
        <v>5908</v>
      </c>
      <c r="AD29" s="1">
        <v>6139.8140000000003</v>
      </c>
      <c r="AE29" s="1">
        <v>7066.8329999999996</v>
      </c>
      <c r="AF29" s="1">
        <v>6387.3580000000002</v>
      </c>
      <c r="AG29" s="1">
        <v>6133.8270000000002</v>
      </c>
      <c r="AH29" s="1">
        <v>6094.0129999999999</v>
      </c>
      <c r="AI29" s="1">
        <v>8056.1469999999999</v>
      </c>
      <c r="AK29" s="1">
        <v>6213.8959999999997</v>
      </c>
    </row>
    <row r="30" spans="1:37" ht="12.75" customHeight="1">
      <c r="A30" s="1" t="s">
        <v>43</v>
      </c>
      <c r="J30" s="157">
        <v>4148.866</v>
      </c>
      <c r="M30" s="1">
        <v>3658.3980000000001</v>
      </c>
      <c r="O30" s="1">
        <v>5392.0450000000001</v>
      </c>
      <c r="R30" s="20">
        <v>10388.120000000001</v>
      </c>
      <c r="S30" s="1">
        <v>8133.9380000000001</v>
      </c>
      <c r="T30" s="1">
        <v>1198.3019999999999</v>
      </c>
      <c r="U30" s="1">
        <v>1483.223</v>
      </c>
      <c r="V30" s="1">
        <v>7188.3090000000002</v>
      </c>
      <c r="W30" s="157">
        <v>7113.4740000000002</v>
      </c>
      <c r="X30" s="157">
        <v>7050.8760000000002</v>
      </c>
      <c r="Y30" s="157">
        <v>9190.0130000000008</v>
      </c>
      <c r="Z30" s="157">
        <v>11780.701999999999</v>
      </c>
      <c r="AA30" s="157">
        <v>11497.168</v>
      </c>
      <c r="AB30" s="157">
        <v>10645.539000000001</v>
      </c>
      <c r="AC30" s="157">
        <v>11634</v>
      </c>
      <c r="AD30" s="1">
        <v>15137.874</v>
      </c>
      <c r="AE30" s="1">
        <v>14793.111000000001</v>
      </c>
      <c r="AF30" s="1">
        <v>19200.151999999998</v>
      </c>
      <c r="AG30" s="1">
        <v>16222.445</v>
      </c>
      <c r="AH30" s="1">
        <v>15396.457</v>
      </c>
      <c r="AI30" s="1">
        <v>16206.391</v>
      </c>
      <c r="AK30" s="1">
        <v>19514.382000000001</v>
      </c>
    </row>
    <row r="31" spans="1:37" ht="12.75" customHeight="1">
      <c r="A31" s="1" t="s">
        <v>44</v>
      </c>
      <c r="J31" s="157">
        <v>1479.287</v>
      </c>
      <c r="M31" s="1">
        <v>3209.3220000000001</v>
      </c>
      <c r="O31" s="1">
        <v>6060.5484399999996</v>
      </c>
      <c r="R31" s="27">
        <v>8040.7719999999999</v>
      </c>
      <c r="S31" s="1">
        <v>10674.093999999999</v>
      </c>
      <c r="T31" s="1">
        <v>13075.19</v>
      </c>
      <c r="U31" s="1">
        <v>7595.5010000000002</v>
      </c>
      <c r="V31" s="1">
        <v>8901.1029999999992</v>
      </c>
      <c r="W31" s="157">
        <v>7959.0129999999999</v>
      </c>
      <c r="X31" s="157">
        <v>9584.4650000000001</v>
      </c>
      <c r="Y31" s="157">
        <v>7808.2039999999997</v>
      </c>
      <c r="Z31" s="157">
        <v>6713.1180000000004</v>
      </c>
      <c r="AA31" s="157">
        <v>6782.7169999999996</v>
      </c>
      <c r="AB31" s="157">
        <v>15419.102999999999</v>
      </c>
      <c r="AC31" s="157">
        <v>8395</v>
      </c>
      <c r="AD31" s="1">
        <v>10495.901</v>
      </c>
      <c r="AE31" s="1">
        <v>14305.54</v>
      </c>
      <c r="AF31" s="1">
        <v>9878.4470000000001</v>
      </c>
      <c r="AG31" s="1">
        <v>9139.7620000000006</v>
      </c>
      <c r="AH31" s="1">
        <v>8966.7009999999991</v>
      </c>
      <c r="AI31" s="1">
        <v>8652.0789999999997</v>
      </c>
      <c r="AK31" s="1">
        <v>7542.2939999999999</v>
      </c>
    </row>
    <row r="32" spans="1:37" ht="12.75" customHeight="1">
      <c r="A32" s="1" t="s">
        <v>45</v>
      </c>
      <c r="J32" s="157">
        <v>2760.8409999999999</v>
      </c>
      <c r="M32" s="1">
        <v>2777.61</v>
      </c>
      <c r="O32" s="1">
        <v>3875</v>
      </c>
      <c r="R32" s="27">
        <v>5238</v>
      </c>
      <c r="S32" s="1">
        <v>6290</v>
      </c>
      <c r="T32" s="1">
        <v>4166</v>
      </c>
      <c r="U32" s="1">
        <v>4726</v>
      </c>
      <c r="V32" s="1">
        <v>603</v>
      </c>
      <c r="W32" s="157">
        <v>550</v>
      </c>
      <c r="X32" s="157">
        <v>1083</v>
      </c>
      <c r="Y32" s="157">
        <v>312</v>
      </c>
      <c r="Z32" s="157">
        <v>287</v>
      </c>
      <c r="AA32" s="157">
        <v>9049.7999999999993</v>
      </c>
      <c r="AB32" s="157">
        <v>64017</v>
      </c>
      <c r="AC32" s="157">
        <v>5480</v>
      </c>
      <c r="AD32" s="1">
        <v>5574</v>
      </c>
      <c r="AE32" s="1">
        <v>12868</v>
      </c>
      <c r="AF32" s="1">
        <v>2442</v>
      </c>
      <c r="AG32" s="1">
        <v>7321</v>
      </c>
      <c r="AH32" s="1">
        <v>6011</v>
      </c>
      <c r="AI32" s="1">
        <v>7389</v>
      </c>
      <c r="AK32" s="1">
        <v>4817</v>
      </c>
    </row>
    <row r="33" spans="1:37" ht="12.75" customHeight="1">
      <c r="A33" s="1" t="s">
        <v>46</v>
      </c>
      <c r="J33" s="157">
        <v>10301.239</v>
      </c>
      <c r="M33" s="1">
        <v>15385.143</v>
      </c>
      <c r="O33" s="1">
        <v>16930.282999999999</v>
      </c>
      <c r="R33" s="27">
        <v>16225.183000000001</v>
      </c>
      <c r="S33" s="1">
        <v>10904.297</v>
      </c>
      <c r="T33" s="1">
        <v>18390.098000000002</v>
      </c>
      <c r="U33" s="1">
        <v>21326.710999999999</v>
      </c>
      <c r="V33" s="1">
        <v>26892.012999999999</v>
      </c>
      <c r="W33" s="157">
        <v>31760.955999999998</v>
      </c>
      <c r="X33" s="157">
        <v>26990.763999999999</v>
      </c>
      <c r="Y33" s="157">
        <v>33752.781999999999</v>
      </c>
      <c r="Z33" s="157">
        <v>25229.826000000001</v>
      </c>
      <c r="AA33" s="157">
        <v>66920.928</v>
      </c>
      <c r="AB33" s="157">
        <v>26623.751</v>
      </c>
      <c r="AC33" s="157">
        <v>28604</v>
      </c>
      <c r="AD33" s="1">
        <v>35971.171000000002</v>
      </c>
      <c r="AE33" s="1">
        <v>73612.414999999994</v>
      </c>
      <c r="AF33" s="1">
        <v>29096.699000000001</v>
      </c>
      <c r="AG33" s="1">
        <v>27234.803</v>
      </c>
      <c r="AH33" s="1">
        <v>21742.44</v>
      </c>
      <c r="AI33" s="1">
        <v>23877.206999999999</v>
      </c>
      <c r="AK33" s="1">
        <v>29884.853999999999</v>
      </c>
    </row>
    <row r="34" spans="1:37" ht="12.75" customHeight="1">
      <c r="A34" s="1" t="s">
        <v>47</v>
      </c>
      <c r="J34" s="157">
        <v>24055.885999999999</v>
      </c>
      <c r="M34" s="1">
        <v>27891.406999999999</v>
      </c>
      <c r="O34" s="1">
        <v>30278.09619</v>
      </c>
      <c r="R34" s="20">
        <v>44292.14</v>
      </c>
      <c r="S34" s="1">
        <v>52596.008999999998</v>
      </c>
      <c r="T34" s="1">
        <v>42858.442999999999</v>
      </c>
      <c r="U34" s="1">
        <v>39828.366999999998</v>
      </c>
      <c r="V34" s="1">
        <v>54138.678</v>
      </c>
      <c r="W34" s="157">
        <v>37481.618000000002</v>
      </c>
      <c r="X34" s="157">
        <v>38891.114999999998</v>
      </c>
      <c r="Y34" s="157">
        <v>40075.684000000001</v>
      </c>
      <c r="Z34" s="157">
        <v>42241.728000000003</v>
      </c>
      <c r="AA34" s="157">
        <v>44889.737999999998</v>
      </c>
      <c r="AB34" s="157">
        <v>81209.172999999995</v>
      </c>
      <c r="AC34" s="157">
        <v>100620</v>
      </c>
      <c r="AD34" s="1">
        <v>86182.956999999995</v>
      </c>
      <c r="AE34" s="1">
        <v>121744.13499999999</v>
      </c>
      <c r="AF34" s="1">
        <v>97516.917000000001</v>
      </c>
      <c r="AG34" s="1">
        <v>55149.201999999997</v>
      </c>
      <c r="AH34" s="1">
        <v>55123.824000000001</v>
      </c>
      <c r="AI34" s="1">
        <v>60393.307999999997</v>
      </c>
      <c r="AK34" s="1">
        <v>54727.646999999997</v>
      </c>
    </row>
    <row r="35" spans="1:37" ht="12.75" customHeight="1">
      <c r="A35" s="1" t="s">
        <v>48</v>
      </c>
      <c r="J35" s="157">
        <v>5473.9520000000002</v>
      </c>
      <c r="M35" s="1">
        <v>5696.5739999999996</v>
      </c>
      <c r="O35" s="1">
        <v>7034.7470000000003</v>
      </c>
      <c r="R35" s="20">
        <v>7764.52</v>
      </c>
      <c r="S35" s="1">
        <v>8402.5249999999996</v>
      </c>
      <c r="T35" s="1">
        <v>6739.5129999999999</v>
      </c>
      <c r="U35" s="1">
        <v>5772.183</v>
      </c>
      <c r="V35" s="1">
        <v>7955.875</v>
      </c>
      <c r="W35" s="157">
        <v>8010.0540000000001</v>
      </c>
      <c r="X35" s="157">
        <v>8605.5550000000003</v>
      </c>
      <c r="Y35" s="157">
        <v>9532.16</v>
      </c>
      <c r="Z35" s="157">
        <v>9206.7080000000005</v>
      </c>
      <c r="AA35" s="157">
        <v>9303.3809999999994</v>
      </c>
      <c r="AB35" s="157">
        <v>10716.375</v>
      </c>
      <c r="AC35" s="157">
        <v>10275</v>
      </c>
      <c r="AD35" s="1">
        <v>6763.9059999999999</v>
      </c>
      <c r="AE35" s="1">
        <v>9379.018</v>
      </c>
      <c r="AF35" s="1">
        <v>5762.143</v>
      </c>
      <c r="AG35" s="1">
        <v>6405.549</v>
      </c>
      <c r="AH35" s="1">
        <v>5548.1049999999996</v>
      </c>
      <c r="AI35" s="1">
        <v>6010.482</v>
      </c>
      <c r="AK35" s="1">
        <v>6672.4480000000003</v>
      </c>
    </row>
    <row r="36" spans="1:37" ht="12.75" customHeight="1">
      <c r="A36" s="1" t="s">
        <v>49</v>
      </c>
      <c r="J36" s="157">
        <v>25557.198</v>
      </c>
      <c r="M36" s="1">
        <v>20253.531999999999</v>
      </c>
      <c r="O36" s="1">
        <v>25495.155770000001</v>
      </c>
      <c r="R36" s="20">
        <v>32589.837</v>
      </c>
      <c r="S36" s="1">
        <v>40231.315999999999</v>
      </c>
      <c r="T36" s="1">
        <v>39124.999000000003</v>
      </c>
      <c r="U36" s="1">
        <v>40027.110999999997</v>
      </c>
      <c r="V36" s="1">
        <v>90922.607999999993</v>
      </c>
      <c r="W36" s="157">
        <v>55172.906000000003</v>
      </c>
      <c r="X36" s="157">
        <v>94887.812999999995</v>
      </c>
      <c r="Y36" s="157">
        <v>50410.538</v>
      </c>
      <c r="Z36" s="157">
        <v>55615.733</v>
      </c>
      <c r="AA36" s="157">
        <v>62198.542000000001</v>
      </c>
      <c r="AB36" s="157">
        <v>97466.87</v>
      </c>
      <c r="AC36" s="157">
        <v>65201</v>
      </c>
      <c r="AD36" s="1">
        <v>94904.027000000002</v>
      </c>
      <c r="AE36" s="1">
        <v>120787.455</v>
      </c>
      <c r="AF36" s="1">
        <v>56931.63</v>
      </c>
      <c r="AG36" s="1">
        <v>54380.964999999997</v>
      </c>
      <c r="AH36" s="1">
        <v>98984.4</v>
      </c>
      <c r="AI36" s="1">
        <v>189424.97099999999</v>
      </c>
      <c r="AK36" s="1">
        <v>78106.414999999994</v>
      </c>
    </row>
    <row r="37" spans="1:37" ht="12.75" customHeight="1">
      <c r="A37" s="30" t="s">
        <v>50</v>
      </c>
      <c r="B37" s="30"/>
      <c r="C37" s="30"/>
      <c r="D37" s="30"/>
      <c r="E37" s="30"/>
      <c r="F37" s="30"/>
      <c r="G37" s="30"/>
      <c r="H37" s="30"/>
      <c r="I37" s="30"/>
      <c r="J37" s="158">
        <v>2315.5410000000002</v>
      </c>
      <c r="K37" s="30"/>
      <c r="L37" s="30"/>
      <c r="M37" s="30">
        <v>2243.482</v>
      </c>
      <c r="N37" s="30"/>
      <c r="O37" s="30">
        <v>1924.799</v>
      </c>
      <c r="P37" s="30"/>
      <c r="Q37" s="30"/>
      <c r="R37" s="40">
        <v>2863.9949999999999</v>
      </c>
      <c r="S37" s="30">
        <v>4931.8500000000004</v>
      </c>
      <c r="T37" s="30">
        <v>2940.0050000000001</v>
      </c>
      <c r="U37" s="30">
        <v>2821.9929999999999</v>
      </c>
      <c r="V37" s="30">
        <v>4473.2039999999997</v>
      </c>
      <c r="W37" s="158">
        <v>18308.646000000001</v>
      </c>
      <c r="X37" s="158">
        <v>7981.9539999999997</v>
      </c>
      <c r="Y37" s="158">
        <v>9135.68</v>
      </c>
      <c r="Z37" s="158">
        <v>13922.962</v>
      </c>
      <c r="AA37" s="158">
        <v>7660.31</v>
      </c>
      <c r="AB37" s="158">
        <v>3542.88</v>
      </c>
      <c r="AC37" s="158">
        <v>5526</v>
      </c>
      <c r="AD37" s="30">
        <v>11111.669</v>
      </c>
      <c r="AE37" s="30">
        <v>14988.093000000001</v>
      </c>
      <c r="AF37" s="30">
        <v>13117.396000000001</v>
      </c>
      <c r="AG37" s="30">
        <v>14916.88</v>
      </c>
      <c r="AH37" s="30">
        <v>12179.732</v>
      </c>
      <c r="AI37" s="30">
        <v>12816.825000000001</v>
      </c>
      <c r="AJ37" s="30"/>
      <c r="AK37" s="30">
        <v>6215.2520000000004</v>
      </c>
    </row>
    <row r="38" spans="1:37" ht="12.75" customHeight="1">
      <c r="A38" s="6" t="s">
        <v>51</v>
      </c>
      <c r="B38" s="58">
        <f>SUM(B40:B51)</f>
        <v>0</v>
      </c>
      <c r="C38" s="58">
        <f t="shared" ref="C38:AK38" si="14">SUM(C40:C51)</f>
        <v>0</v>
      </c>
      <c r="D38" s="58">
        <f t="shared" si="14"/>
        <v>0</v>
      </c>
      <c r="E38" s="58">
        <f t="shared" si="14"/>
        <v>0</v>
      </c>
      <c r="F38" s="58">
        <f t="shared" si="14"/>
        <v>0</v>
      </c>
      <c r="G38" s="58">
        <f t="shared" si="14"/>
        <v>0</v>
      </c>
      <c r="H38" s="58">
        <f t="shared" si="14"/>
        <v>0</v>
      </c>
      <c r="I38" s="58">
        <f t="shared" si="14"/>
        <v>0</v>
      </c>
      <c r="J38" s="58">
        <f t="shared" si="14"/>
        <v>236615.46100000001</v>
      </c>
      <c r="K38" s="58">
        <f t="shared" si="14"/>
        <v>0</v>
      </c>
      <c r="L38" s="58">
        <f t="shared" si="14"/>
        <v>0</v>
      </c>
      <c r="M38" s="58">
        <f t="shared" si="14"/>
        <v>279338.80199999997</v>
      </c>
      <c r="N38" s="58">
        <f t="shared" si="14"/>
        <v>0</v>
      </c>
      <c r="O38" s="58">
        <f t="shared" si="14"/>
        <v>334672.57031000004</v>
      </c>
      <c r="P38" s="58">
        <f t="shared" si="14"/>
        <v>0</v>
      </c>
      <c r="Q38" s="58">
        <f t="shared" si="14"/>
        <v>0</v>
      </c>
      <c r="R38" s="58">
        <f t="shared" si="14"/>
        <v>430440.98800000001</v>
      </c>
      <c r="S38" s="58">
        <f t="shared" si="14"/>
        <v>551441.02899999998</v>
      </c>
      <c r="T38" s="58">
        <f t="shared" si="14"/>
        <v>385287.74800000002</v>
      </c>
      <c r="U38" s="58">
        <f t="shared" si="14"/>
        <v>240518.49999999997</v>
      </c>
      <c r="V38" s="58">
        <f t="shared" si="14"/>
        <v>265798.89</v>
      </c>
      <c r="W38" s="58">
        <f t="shared" si="14"/>
        <v>271451.12099999998</v>
      </c>
      <c r="X38" s="58">
        <f t="shared" si="14"/>
        <v>288572.87000000005</v>
      </c>
      <c r="Y38" s="58">
        <f t="shared" si="14"/>
        <v>302890.03400000004</v>
      </c>
      <c r="Z38" s="58">
        <f t="shared" si="14"/>
        <v>301427.47599999997</v>
      </c>
      <c r="AA38" s="58">
        <f t="shared" si="14"/>
        <v>289026.35400000005</v>
      </c>
      <c r="AB38" s="58">
        <f t="shared" si="14"/>
        <v>449845.43400000001</v>
      </c>
      <c r="AC38" s="58">
        <f t="shared" si="14"/>
        <v>485810</v>
      </c>
      <c r="AD38" s="58">
        <f t="shared" si="14"/>
        <v>393252.17800000007</v>
      </c>
      <c r="AE38" s="58">
        <f t="shared" si="14"/>
        <v>428121.06899999996</v>
      </c>
      <c r="AF38" s="58">
        <f t="shared" si="14"/>
        <v>294562.20299999998</v>
      </c>
      <c r="AG38" s="58">
        <f t="shared" si="14"/>
        <v>378075.52999999991</v>
      </c>
      <c r="AH38" s="58">
        <f t="shared" si="14"/>
        <v>433859.745</v>
      </c>
      <c r="AI38" s="58">
        <f t="shared" si="14"/>
        <v>481096.79499999993</v>
      </c>
      <c r="AJ38" s="58">
        <f t="shared" si="14"/>
        <v>0</v>
      </c>
      <c r="AK38" s="58">
        <f t="shared" si="14"/>
        <v>501870.19700000004</v>
      </c>
    </row>
    <row r="39" spans="1:37" ht="12.75" customHeight="1">
      <c r="A39" s="6" t="s">
        <v>94</v>
      </c>
    </row>
    <row r="40" spans="1:37" ht="12.75" customHeight="1">
      <c r="A40" s="1" t="s">
        <v>52</v>
      </c>
      <c r="J40" s="157">
        <v>56886.468000000001</v>
      </c>
      <c r="M40" s="1">
        <v>61905.504999999997</v>
      </c>
      <c r="O40" s="1">
        <v>85297.170750000005</v>
      </c>
      <c r="R40" s="20">
        <v>94762.217999999993</v>
      </c>
      <c r="S40" s="1">
        <v>129925.452</v>
      </c>
      <c r="T40" s="1">
        <v>74590.016000000003</v>
      </c>
      <c r="U40" s="1">
        <v>63157.65</v>
      </c>
      <c r="V40" s="1">
        <v>88944.221000000005</v>
      </c>
      <c r="W40" s="157">
        <v>80779.09</v>
      </c>
      <c r="X40" s="157">
        <v>78903.808000000005</v>
      </c>
      <c r="Y40" s="157">
        <v>78565.558999999994</v>
      </c>
      <c r="Z40" s="157">
        <v>75298.619000000006</v>
      </c>
      <c r="AA40" s="157">
        <v>77331.56</v>
      </c>
      <c r="AB40" s="157">
        <v>92800.801999999996</v>
      </c>
      <c r="AC40" s="157">
        <v>90223</v>
      </c>
      <c r="AD40" s="1">
        <v>91035.293999999994</v>
      </c>
      <c r="AE40" s="1">
        <v>96821.005999999994</v>
      </c>
      <c r="AF40" s="1">
        <v>49917.207000000002</v>
      </c>
      <c r="AG40" s="1">
        <v>54203.934999999998</v>
      </c>
      <c r="AH40" s="1">
        <v>89588.142999999996</v>
      </c>
      <c r="AI40" s="1">
        <v>105001.514</v>
      </c>
      <c r="AK40" s="1">
        <v>113308.401</v>
      </c>
    </row>
    <row r="41" spans="1:37" ht="12.75" customHeight="1">
      <c r="A41" s="1" t="s">
        <v>53</v>
      </c>
      <c r="J41" s="157">
        <v>2727.7339999999999</v>
      </c>
      <c r="M41" s="1">
        <v>3661.0880000000002</v>
      </c>
      <c r="O41" s="1">
        <v>5759.08</v>
      </c>
      <c r="R41" s="20">
        <v>3777.4949999999999</v>
      </c>
      <c r="S41" s="1">
        <v>6466.4920000000002</v>
      </c>
      <c r="T41" s="1">
        <v>6797.598</v>
      </c>
      <c r="U41" s="1">
        <v>8601.741</v>
      </c>
      <c r="V41" s="1">
        <v>2467.8330000000001</v>
      </c>
      <c r="W41" s="157">
        <v>2251.9589999999998</v>
      </c>
      <c r="X41" s="157">
        <v>3533.1979999999999</v>
      </c>
      <c r="Y41" s="157">
        <v>27775.508999999998</v>
      </c>
      <c r="Z41" s="157">
        <v>7405.1120000000001</v>
      </c>
      <c r="AA41" s="157">
        <v>3541.0079999999998</v>
      </c>
      <c r="AB41" s="157">
        <v>5344.5360000000001</v>
      </c>
      <c r="AC41" s="157">
        <v>6636</v>
      </c>
      <c r="AD41" s="1">
        <v>11699.467000000001</v>
      </c>
      <c r="AE41" s="1">
        <v>11067.197</v>
      </c>
      <c r="AF41" s="1">
        <v>8034.7730000000001</v>
      </c>
      <c r="AG41" s="1">
        <v>12982.66</v>
      </c>
      <c r="AH41" s="1">
        <v>8971.5069999999996</v>
      </c>
      <c r="AI41" s="1">
        <v>8476.598</v>
      </c>
      <c r="AK41" s="1">
        <v>16405.07</v>
      </c>
    </row>
    <row r="42" spans="1:37" ht="12.75" customHeight="1">
      <c r="A42" s="1" t="s">
        <v>54</v>
      </c>
      <c r="J42" s="157">
        <v>40287.262000000002</v>
      </c>
      <c r="M42" s="1">
        <v>44666.610999999997</v>
      </c>
      <c r="O42" s="1">
        <v>46883.987000000001</v>
      </c>
      <c r="R42" s="20">
        <v>82274.894</v>
      </c>
      <c r="S42" s="1">
        <v>72296.36</v>
      </c>
      <c r="T42" s="1">
        <v>73026.870999999999</v>
      </c>
      <c r="U42" s="1">
        <v>28747.992999999999</v>
      </c>
      <c r="V42" s="1">
        <v>32344.991000000002</v>
      </c>
      <c r="W42" s="157">
        <v>35104.353999999999</v>
      </c>
      <c r="X42" s="157">
        <v>41098.017</v>
      </c>
      <c r="Y42" s="157">
        <v>45093.023000000001</v>
      </c>
      <c r="Z42" s="157">
        <v>56620.451000000001</v>
      </c>
      <c r="AA42" s="157">
        <v>55717.360999999997</v>
      </c>
      <c r="AB42" s="157">
        <v>63190.478000000003</v>
      </c>
      <c r="AC42" s="157">
        <v>69825</v>
      </c>
      <c r="AD42" s="1">
        <v>73191.542000000001</v>
      </c>
      <c r="AE42" s="1">
        <v>74504.471000000005</v>
      </c>
      <c r="AF42" s="1">
        <v>63952.860999999997</v>
      </c>
      <c r="AG42" s="1">
        <v>77782.448999999993</v>
      </c>
      <c r="AH42" s="1">
        <v>88280.717999999993</v>
      </c>
      <c r="AI42" s="1">
        <v>100672.689</v>
      </c>
      <c r="AK42" s="1">
        <v>108547.25</v>
      </c>
    </row>
    <row r="43" spans="1:37" ht="12.75" customHeight="1">
      <c r="A43" s="1" t="s">
        <v>55</v>
      </c>
      <c r="J43" s="157">
        <v>18857.358</v>
      </c>
      <c r="M43" s="1">
        <v>14173.915999999999</v>
      </c>
      <c r="O43" s="1">
        <v>13755.79377</v>
      </c>
      <c r="R43" s="20">
        <v>16239.532999999999</v>
      </c>
      <c r="S43" s="1">
        <v>17072.205000000002</v>
      </c>
      <c r="T43" s="1">
        <v>16585.198</v>
      </c>
      <c r="U43" s="1">
        <v>13936.538</v>
      </c>
      <c r="V43" s="1">
        <v>17432.503000000001</v>
      </c>
      <c r="W43" s="157">
        <v>17953.131000000001</v>
      </c>
      <c r="X43" s="157">
        <v>17815.166000000001</v>
      </c>
      <c r="Y43" s="157">
        <v>25841.032999999999</v>
      </c>
      <c r="Z43" s="157">
        <v>22168.186000000002</v>
      </c>
      <c r="AA43" s="157">
        <v>1008.018</v>
      </c>
      <c r="AB43" s="157">
        <v>23546.28</v>
      </c>
      <c r="AC43" s="157">
        <v>26618</v>
      </c>
      <c r="AD43" s="1">
        <v>24757.486000000001</v>
      </c>
      <c r="AE43" s="1">
        <v>39212.072999999997</v>
      </c>
      <c r="AF43" s="1">
        <v>30958.065999999999</v>
      </c>
      <c r="AG43" s="1">
        <v>41916.953999999998</v>
      </c>
      <c r="AH43" s="1">
        <v>39591.620000000003</v>
      </c>
      <c r="AI43" s="1">
        <v>48478.457000000002</v>
      </c>
      <c r="AK43" s="1">
        <v>42138.442000000003</v>
      </c>
    </row>
    <row r="44" spans="1:37" ht="12.75" customHeight="1">
      <c r="A44" s="1" t="s">
        <v>56</v>
      </c>
      <c r="J44" s="157">
        <v>23766.816999999999</v>
      </c>
      <c r="M44" s="1">
        <v>33534.133000000002</v>
      </c>
      <c r="O44" s="1">
        <v>39036.548340000001</v>
      </c>
      <c r="R44" s="20">
        <v>103865.58100000001</v>
      </c>
      <c r="S44" s="1">
        <v>100352.74800000001</v>
      </c>
      <c r="T44" s="1">
        <v>90151.6</v>
      </c>
      <c r="U44" s="1">
        <v>29151.366999999998</v>
      </c>
      <c r="V44" s="1">
        <v>33078.756999999998</v>
      </c>
      <c r="W44" s="157">
        <v>38282.521999999997</v>
      </c>
      <c r="X44" s="157">
        <v>51056.940999999999</v>
      </c>
      <c r="Y44" s="157">
        <v>45294.71</v>
      </c>
      <c r="Z44" s="157">
        <v>46606.43</v>
      </c>
      <c r="AA44" s="157">
        <v>51118.792999999998</v>
      </c>
      <c r="AB44" s="157">
        <v>46894.152000000002</v>
      </c>
      <c r="AC44" s="157">
        <v>53621</v>
      </c>
      <c r="AD44" s="1">
        <v>46891.347000000002</v>
      </c>
      <c r="AE44" s="1">
        <v>45636.328000000001</v>
      </c>
      <c r="AF44" s="1">
        <v>45044.118999999999</v>
      </c>
      <c r="AG44" s="1">
        <v>47383.572</v>
      </c>
      <c r="AH44" s="1">
        <v>57117.303</v>
      </c>
      <c r="AI44" s="1">
        <v>69486.971999999994</v>
      </c>
      <c r="AK44" s="1">
        <v>59476.161</v>
      </c>
    </row>
    <row r="45" spans="1:37" ht="12.75" customHeight="1">
      <c r="A45" s="1" t="s">
        <v>57</v>
      </c>
      <c r="J45" s="157">
        <v>31764.664000000001</v>
      </c>
      <c r="M45" s="1">
        <v>47624.527999999998</v>
      </c>
      <c r="O45" s="1">
        <v>34717.672530000003</v>
      </c>
      <c r="R45" s="20">
        <v>18762.509999999998</v>
      </c>
      <c r="S45" s="1">
        <v>20447.05</v>
      </c>
      <c r="T45" s="1">
        <v>17263.187999999998</v>
      </c>
      <c r="U45" s="1">
        <v>8844.6849999999995</v>
      </c>
      <c r="V45" s="1">
        <v>8135.2879999999996</v>
      </c>
      <c r="W45" s="157">
        <v>7974.51</v>
      </c>
      <c r="X45" s="157">
        <v>7981.6</v>
      </c>
      <c r="Y45" s="157">
        <v>7532</v>
      </c>
      <c r="Z45" s="157">
        <v>8607</v>
      </c>
      <c r="AA45" s="157">
        <v>17293</v>
      </c>
      <c r="AB45" s="157">
        <v>13547.002</v>
      </c>
      <c r="AC45" s="157">
        <v>21810</v>
      </c>
      <c r="AD45" s="1">
        <v>17432</v>
      </c>
      <c r="AE45" s="1">
        <v>19079.001</v>
      </c>
      <c r="AF45" s="1">
        <v>4910</v>
      </c>
      <c r="AG45" s="1">
        <v>11196</v>
      </c>
      <c r="AH45" s="1">
        <v>15821.441999999999</v>
      </c>
      <c r="AI45" s="1">
        <v>15463.97</v>
      </c>
      <c r="AK45" s="1">
        <v>19224.781999999999</v>
      </c>
    </row>
    <row r="46" spans="1:37" ht="12.75" customHeight="1">
      <c r="A46" s="1" t="s">
        <v>58</v>
      </c>
      <c r="J46" s="157">
        <v>10259.884</v>
      </c>
      <c r="M46" s="1">
        <v>6374.826</v>
      </c>
      <c r="O46" s="1">
        <v>17030.164000000001</v>
      </c>
      <c r="R46" s="20">
        <v>8203.5550000000003</v>
      </c>
      <c r="S46" s="1">
        <v>90931.243000000002</v>
      </c>
      <c r="T46" s="1">
        <v>8123.3159999999998</v>
      </c>
      <c r="U46" s="1">
        <v>12258.962</v>
      </c>
      <c r="V46" s="1">
        <v>8619.8770000000004</v>
      </c>
      <c r="W46" s="157">
        <v>9862.2389999999996</v>
      </c>
      <c r="X46" s="157">
        <v>5725.5219999999999</v>
      </c>
      <c r="Y46" s="157">
        <v>6921.1189999999997</v>
      </c>
      <c r="Z46" s="157">
        <v>11768.197</v>
      </c>
      <c r="AA46" s="157">
        <v>4548.0240000000003</v>
      </c>
      <c r="AB46" s="157">
        <v>19691.342000000001</v>
      </c>
      <c r="AC46" s="157">
        <v>12486</v>
      </c>
      <c r="AD46" s="1">
        <v>14391.319</v>
      </c>
      <c r="AE46" s="1">
        <v>19062.990000000002</v>
      </c>
      <c r="AF46" s="1">
        <v>34047.947999999997</v>
      </c>
      <c r="AG46" s="1">
        <v>41739.947</v>
      </c>
      <c r="AH46" s="1">
        <v>25703.471000000001</v>
      </c>
      <c r="AI46" s="1">
        <v>26859.125</v>
      </c>
      <c r="AK46" s="1">
        <v>34014.586000000003</v>
      </c>
    </row>
    <row r="47" spans="1:37" ht="12.75" customHeight="1">
      <c r="A47" s="1" t="s">
        <v>59</v>
      </c>
      <c r="J47" s="157">
        <v>3036.03</v>
      </c>
      <c r="M47" s="1">
        <v>3818.4079999999999</v>
      </c>
      <c r="O47" s="1">
        <v>7362.8019999999997</v>
      </c>
      <c r="R47" s="27">
        <v>9087.42</v>
      </c>
      <c r="S47" s="1">
        <v>8489.4529999999995</v>
      </c>
      <c r="T47" s="1">
        <v>8537.2749999999996</v>
      </c>
      <c r="U47" s="1">
        <v>2972.6709999999998</v>
      </c>
      <c r="V47" s="1">
        <v>4171.2830000000004</v>
      </c>
      <c r="W47" s="157">
        <v>3504.7040000000002</v>
      </c>
      <c r="X47" s="157">
        <v>4701.6989999999996</v>
      </c>
      <c r="Y47" s="157">
        <v>4939.4459999999999</v>
      </c>
      <c r="Z47" s="157">
        <v>5601.6959999999999</v>
      </c>
      <c r="AA47" s="157">
        <v>8811.1859999999997</v>
      </c>
      <c r="AB47" s="157">
        <v>9341.0969999999998</v>
      </c>
      <c r="AC47" s="157">
        <v>18367</v>
      </c>
      <c r="AD47" s="1">
        <v>13514.95</v>
      </c>
      <c r="AE47" s="1">
        <v>7403.2049999999999</v>
      </c>
      <c r="AF47" s="1">
        <v>4415.7700000000004</v>
      </c>
      <c r="AG47" s="1">
        <v>12532.898999999999</v>
      </c>
      <c r="AH47" s="1">
        <v>13370.673000000001</v>
      </c>
      <c r="AI47" s="1">
        <v>13006.252</v>
      </c>
      <c r="AK47" s="1">
        <v>12369.736999999999</v>
      </c>
    </row>
    <row r="48" spans="1:37" ht="12.75" customHeight="1">
      <c r="A48" s="1" t="s">
        <v>60</v>
      </c>
      <c r="J48" s="157">
        <v>4261.0829999999996</v>
      </c>
      <c r="M48" s="1">
        <v>2942.7150000000001</v>
      </c>
      <c r="O48" s="1">
        <v>10203.961780000001</v>
      </c>
      <c r="R48" s="20">
        <v>11122.300999999999</v>
      </c>
      <c r="S48" s="1">
        <v>12807.214</v>
      </c>
      <c r="T48" s="1">
        <v>9323.2340000000004</v>
      </c>
      <c r="U48" s="1">
        <v>2885.7750000000001</v>
      </c>
      <c r="V48" s="1">
        <v>3186.4929999999999</v>
      </c>
      <c r="W48" s="157">
        <v>5182.0439999999999</v>
      </c>
      <c r="X48" s="157">
        <v>4514.8900000000003</v>
      </c>
      <c r="Y48" s="157">
        <v>6248.1660000000002</v>
      </c>
      <c r="Z48" s="157">
        <v>4934.2529999999997</v>
      </c>
      <c r="AA48" s="157">
        <v>6088.8469999999998</v>
      </c>
      <c r="AB48" s="157">
        <v>10477.803</v>
      </c>
      <c r="AC48" s="157">
        <v>12910</v>
      </c>
      <c r="AD48" s="1">
        <v>14399.187</v>
      </c>
      <c r="AE48" s="1">
        <v>13683.736000000001</v>
      </c>
      <c r="AF48" s="1">
        <v>1659.8979999999999</v>
      </c>
      <c r="AG48" s="1">
        <v>14586.058999999999</v>
      </c>
      <c r="AH48" s="1">
        <v>14593.683000000001</v>
      </c>
      <c r="AI48" s="1">
        <v>15538.405000000001</v>
      </c>
      <c r="AK48" s="1">
        <v>13162.514999999999</v>
      </c>
    </row>
    <row r="49" spans="1:37" ht="12.75" customHeight="1">
      <c r="A49" s="1" t="s">
        <v>61</v>
      </c>
      <c r="J49" s="157">
        <v>18288.057000000001</v>
      </c>
      <c r="M49" s="1">
        <v>20810.674999999999</v>
      </c>
      <c r="O49" s="1">
        <v>27375.212</v>
      </c>
      <c r="R49" s="20">
        <v>36656.482000000004</v>
      </c>
      <c r="S49" s="1">
        <v>40036.474000000002</v>
      </c>
      <c r="T49" s="1">
        <v>37489.74</v>
      </c>
      <c r="U49" s="1">
        <v>39389.525000000001</v>
      </c>
      <c r="V49" s="1">
        <v>40494.739000000001</v>
      </c>
      <c r="W49" s="157">
        <v>41072.044999999998</v>
      </c>
      <c r="X49" s="157">
        <v>47353.383000000002</v>
      </c>
      <c r="Y49" s="157">
        <v>23860.188999999998</v>
      </c>
      <c r="Z49" s="157">
        <v>27437.166000000001</v>
      </c>
      <c r="AA49" s="157">
        <v>29733.744999999999</v>
      </c>
      <c r="AB49" s="157">
        <v>93990.89</v>
      </c>
      <c r="AC49" s="157">
        <v>89284</v>
      </c>
      <c r="AD49" s="1">
        <v>41065.42</v>
      </c>
      <c r="AE49" s="1">
        <v>54508.735000000001</v>
      </c>
      <c r="AF49" s="1">
        <v>32756.256000000001</v>
      </c>
      <c r="AG49" s="1">
        <v>39555.137999999999</v>
      </c>
      <c r="AH49" s="1">
        <v>40673.341999999997</v>
      </c>
      <c r="AI49" s="1">
        <v>41767.821000000004</v>
      </c>
      <c r="AK49" s="1">
        <v>50976.481</v>
      </c>
    </row>
    <row r="50" spans="1:37" ht="12.75" customHeight="1">
      <c r="A50" s="1" t="s">
        <v>62</v>
      </c>
      <c r="J50" s="157">
        <v>6.13</v>
      </c>
      <c r="M50" s="1">
        <v>10.321</v>
      </c>
      <c r="O50" s="1">
        <v>5193.6571399999993</v>
      </c>
      <c r="R50" s="20">
        <v>2865.8890000000001</v>
      </c>
      <c r="S50" s="1">
        <v>2530.7170000000001</v>
      </c>
      <c r="T50" s="1">
        <v>4928.8019999999997</v>
      </c>
      <c r="U50" s="1">
        <v>4260.5519999999997</v>
      </c>
      <c r="V50" s="1">
        <v>2235.7849999999999</v>
      </c>
      <c r="W50" s="157">
        <v>1923.0229999999999</v>
      </c>
      <c r="X50" s="157">
        <v>1032.0930000000001</v>
      </c>
      <c r="Y50" s="157">
        <v>969.48699999999997</v>
      </c>
      <c r="Z50" s="157">
        <v>529.577</v>
      </c>
      <c r="AA50" s="157">
        <v>1065.9449999999999</v>
      </c>
      <c r="AB50" s="157">
        <v>753.14400000000001</v>
      </c>
      <c r="AC50" s="157">
        <v>1210</v>
      </c>
      <c r="AD50" s="1">
        <v>1835.444</v>
      </c>
      <c r="AE50" s="1">
        <v>5194.5190000000002</v>
      </c>
      <c r="AF50" s="1">
        <v>2775.0419999999999</v>
      </c>
      <c r="AG50" s="1">
        <v>3052.9850000000001</v>
      </c>
      <c r="AH50" s="1">
        <v>3459.1950000000002</v>
      </c>
      <c r="AI50" s="1">
        <v>3874.2190000000001</v>
      </c>
      <c r="AK50" s="1">
        <v>7305.933</v>
      </c>
    </row>
    <row r="51" spans="1:37" ht="12.75" customHeight="1">
      <c r="A51" s="30" t="s">
        <v>63</v>
      </c>
      <c r="B51" s="30"/>
      <c r="C51" s="30"/>
      <c r="D51" s="30"/>
      <c r="E51" s="30"/>
      <c r="F51" s="30"/>
      <c r="G51" s="30"/>
      <c r="H51" s="30"/>
      <c r="I51" s="30"/>
      <c r="J51" s="158">
        <v>26473.973999999998</v>
      </c>
      <c r="K51" s="30"/>
      <c r="L51" s="30"/>
      <c r="M51" s="30">
        <v>39816.076000000001</v>
      </c>
      <c r="N51" s="30"/>
      <c r="O51" s="30">
        <v>42056.521000000001</v>
      </c>
      <c r="P51" s="30"/>
      <c r="Q51" s="30"/>
      <c r="R51" s="40">
        <v>42823.11</v>
      </c>
      <c r="S51" s="30">
        <v>50085.620999999999</v>
      </c>
      <c r="T51" s="30">
        <v>38470.910000000003</v>
      </c>
      <c r="U51" s="30">
        <v>26311.041000000001</v>
      </c>
      <c r="V51" s="30">
        <v>24687.119999999999</v>
      </c>
      <c r="W51" s="158">
        <v>27561.5</v>
      </c>
      <c r="X51" s="158">
        <v>24856.553</v>
      </c>
      <c r="Y51" s="158">
        <v>29849.793000000001</v>
      </c>
      <c r="Z51" s="158">
        <v>34450.788999999997</v>
      </c>
      <c r="AA51" s="158">
        <v>32768.866999999998</v>
      </c>
      <c r="AB51" s="158">
        <v>70267.907999999996</v>
      </c>
      <c r="AC51" s="158">
        <v>82820</v>
      </c>
      <c r="AD51" s="30">
        <v>43038.722000000002</v>
      </c>
      <c r="AE51" s="30">
        <v>41947.807999999997</v>
      </c>
      <c r="AF51" s="30">
        <v>16090.263000000001</v>
      </c>
      <c r="AG51" s="30">
        <v>21142.932000000001</v>
      </c>
      <c r="AH51" s="30">
        <v>36688.648000000001</v>
      </c>
      <c r="AI51" s="30">
        <v>32470.773000000001</v>
      </c>
      <c r="AJ51" s="30"/>
      <c r="AK51" s="30">
        <v>24940.839</v>
      </c>
    </row>
    <row r="52" spans="1:37" ht="12.75" customHeight="1">
      <c r="A52" s="6" t="s">
        <v>64</v>
      </c>
      <c r="B52" s="58">
        <f>SUM(B54:B62)</f>
        <v>0</v>
      </c>
      <c r="C52" s="58">
        <f t="shared" ref="C52:AK52" si="15">SUM(C54:C62)</f>
        <v>0</v>
      </c>
      <c r="D52" s="58">
        <f t="shared" si="15"/>
        <v>0</v>
      </c>
      <c r="E52" s="58">
        <f t="shared" si="15"/>
        <v>0</v>
      </c>
      <c r="F52" s="58">
        <f t="shared" si="15"/>
        <v>0</v>
      </c>
      <c r="G52" s="58">
        <f t="shared" si="15"/>
        <v>0</v>
      </c>
      <c r="H52" s="58">
        <f t="shared" si="15"/>
        <v>0</v>
      </c>
      <c r="I52" s="58">
        <f t="shared" si="15"/>
        <v>0</v>
      </c>
      <c r="J52" s="58">
        <f t="shared" si="15"/>
        <v>79295.513999999996</v>
      </c>
      <c r="K52" s="58">
        <f t="shared" si="15"/>
        <v>0</v>
      </c>
      <c r="L52" s="58">
        <f t="shared" si="15"/>
        <v>0</v>
      </c>
      <c r="M52" s="58">
        <f t="shared" si="15"/>
        <v>99801.945999999996</v>
      </c>
      <c r="N52" s="58">
        <f t="shared" si="15"/>
        <v>0</v>
      </c>
      <c r="O52" s="58">
        <f t="shared" si="15"/>
        <v>94590.038389999987</v>
      </c>
      <c r="P52" s="58">
        <f t="shared" si="15"/>
        <v>0</v>
      </c>
      <c r="Q52" s="58">
        <f t="shared" si="15"/>
        <v>0</v>
      </c>
      <c r="R52" s="58">
        <f t="shared" si="15"/>
        <v>98279.12</v>
      </c>
      <c r="S52" s="58">
        <f t="shared" si="15"/>
        <v>110227.659</v>
      </c>
      <c r="T52" s="58">
        <f t="shared" si="15"/>
        <v>117337.171</v>
      </c>
      <c r="U52" s="58">
        <f t="shared" si="15"/>
        <v>130110.51000000001</v>
      </c>
      <c r="V52" s="58">
        <f t="shared" si="15"/>
        <v>170401.82900000003</v>
      </c>
      <c r="W52" s="58">
        <f t="shared" si="15"/>
        <v>181218.97099999999</v>
      </c>
      <c r="X52" s="58">
        <f t="shared" si="15"/>
        <v>175082.712</v>
      </c>
      <c r="Y52" s="58">
        <f t="shared" si="15"/>
        <v>164079.77600000001</v>
      </c>
      <c r="Z52" s="58">
        <f t="shared" si="15"/>
        <v>224022.565</v>
      </c>
      <c r="AA52" s="58">
        <f t="shared" si="15"/>
        <v>219417.43600000002</v>
      </c>
      <c r="AB52" s="58">
        <f t="shared" si="15"/>
        <v>295867.98199999996</v>
      </c>
      <c r="AC52" s="58">
        <f t="shared" si="15"/>
        <v>314024</v>
      </c>
      <c r="AD52" s="58">
        <f t="shared" si="15"/>
        <v>357384.58999999997</v>
      </c>
      <c r="AE52" s="58">
        <f t="shared" si="15"/>
        <v>272177.54700000002</v>
      </c>
      <c r="AF52" s="58">
        <f t="shared" si="15"/>
        <v>236905.46100000001</v>
      </c>
      <c r="AG52" s="58">
        <f t="shared" si="15"/>
        <v>267327.935</v>
      </c>
      <c r="AH52" s="58">
        <f t="shared" si="15"/>
        <v>298973.73200000002</v>
      </c>
      <c r="AI52" s="58">
        <f t="shared" si="15"/>
        <v>322180.587</v>
      </c>
      <c r="AJ52" s="58">
        <f t="shared" si="15"/>
        <v>0</v>
      </c>
      <c r="AK52" s="58">
        <f t="shared" si="15"/>
        <v>337111.90899999999</v>
      </c>
    </row>
    <row r="53" spans="1:37" ht="12.75" customHeight="1">
      <c r="A53" s="6" t="s">
        <v>94</v>
      </c>
    </row>
    <row r="54" spans="1:37" ht="12.75" customHeight="1">
      <c r="A54" s="1" t="s">
        <v>65</v>
      </c>
      <c r="J54" s="157">
        <v>1856.748</v>
      </c>
      <c r="M54" s="1">
        <v>6260.1409999999996</v>
      </c>
      <c r="O54" s="1">
        <v>7235.4154699999999</v>
      </c>
      <c r="R54" s="20">
        <v>5813.77</v>
      </c>
      <c r="S54" s="1">
        <v>10341.569</v>
      </c>
      <c r="T54" s="1">
        <v>8188.0060000000003</v>
      </c>
      <c r="U54" s="1">
        <v>20791.89</v>
      </c>
      <c r="V54" s="1">
        <v>32574.524000000001</v>
      </c>
      <c r="W54" s="157">
        <v>13558.766</v>
      </c>
      <c r="X54" s="157">
        <v>14152.132</v>
      </c>
      <c r="Y54" s="157">
        <v>17584.968000000001</v>
      </c>
      <c r="Z54" s="157">
        <v>12822.218999999999</v>
      </c>
      <c r="AA54" s="157">
        <v>18903.053</v>
      </c>
      <c r="AB54" s="157">
        <v>13497.883</v>
      </c>
      <c r="AC54" s="157">
        <v>9897</v>
      </c>
      <c r="AD54" s="1">
        <v>11212.849</v>
      </c>
      <c r="AE54" s="1">
        <v>18614.169999999998</v>
      </c>
      <c r="AF54" s="1">
        <v>9838.3539999999994</v>
      </c>
      <c r="AG54" s="1">
        <v>25850.094000000001</v>
      </c>
      <c r="AH54" s="1">
        <v>23341.027999999998</v>
      </c>
      <c r="AI54" s="1">
        <v>14769.654</v>
      </c>
      <c r="AK54" s="1">
        <v>17509.667000000001</v>
      </c>
    </row>
    <row r="55" spans="1:37" ht="12.75" customHeight="1">
      <c r="A55" s="1" t="s">
        <v>66</v>
      </c>
      <c r="J55" s="157">
        <v>990.15700000000004</v>
      </c>
      <c r="M55" s="1">
        <v>1083.4100000000001</v>
      </c>
      <c r="O55" s="1">
        <v>1166.2470000000001</v>
      </c>
      <c r="R55" s="20">
        <v>1692.0070000000001</v>
      </c>
      <c r="S55" s="1">
        <v>1183.875</v>
      </c>
      <c r="T55" s="1">
        <v>12584.779</v>
      </c>
      <c r="U55" s="1">
        <v>4953.8180000000002</v>
      </c>
      <c r="V55" s="1">
        <v>6985.6620000000003</v>
      </c>
      <c r="W55" s="157">
        <v>6682.8509999999997</v>
      </c>
      <c r="X55" s="157">
        <v>8046.1409999999996</v>
      </c>
      <c r="Y55" s="157">
        <v>2780.9630000000002</v>
      </c>
      <c r="Z55" s="157">
        <v>6965.5219999999999</v>
      </c>
      <c r="AA55" s="157">
        <v>366.697</v>
      </c>
      <c r="AB55" s="157">
        <v>3524.4110000000001</v>
      </c>
      <c r="AC55" s="157">
        <v>2242</v>
      </c>
      <c r="AD55" s="1">
        <v>2178.5369999999998</v>
      </c>
      <c r="AE55" s="1">
        <v>6362.2610000000004</v>
      </c>
      <c r="AF55" s="1">
        <v>4510.6189999999997</v>
      </c>
      <c r="AG55" s="1">
        <v>4021.8270000000002</v>
      </c>
      <c r="AH55" s="1">
        <v>2670.5650000000001</v>
      </c>
      <c r="AI55" s="1">
        <v>3251.8710000000001</v>
      </c>
      <c r="AK55" s="1">
        <v>4836.0360000000001</v>
      </c>
    </row>
    <row r="56" spans="1:37" ht="12.75" customHeight="1">
      <c r="A56" s="1" t="s">
        <v>67</v>
      </c>
      <c r="J56" s="157">
        <v>6303.5770000000002</v>
      </c>
      <c r="M56" s="1">
        <v>8421.66</v>
      </c>
      <c r="O56" s="1">
        <v>9659.59</v>
      </c>
      <c r="R56" s="20">
        <v>14566.191999999999</v>
      </c>
      <c r="S56" s="1">
        <v>12654.934999999999</v>
      </c>
      <c r="T56" s="1">
        <v>12424.537</v>
      </c>
      <c r="U56" s="1">
        <v>13730.736000000001</v>
      </c>
      <c r="V56" s="1">
        <v>14506.849</v>
      </c>
      <c r="W56" s="157">
        <v>18151.019</v>
      </c>
      <c r="X56" s="157">
        <v>19853.583999999999</v>
      </c>
      <c r="Y56" s="157">
        <v>21180.324000000001</v>
      </c>
      <c r="Z56" s="157">
        <v>21204.732</v>
      </c>
      <c r="AA56" s="157">
        <v>15122.423000000001</v>
      </c>
      <c r="AB56" s="157">
        <v>52191.904000000002</v>
      </c>
      <c r="AC56" s="157">
        <v>33879</v>
      </c>
      <c r="AD56" s="1">
        <v>22705.956999999999</v>
      </c>
      <c r="AE56" s="1">
        <v>26127.044000000002</v>
      </c>
      <c r="AF56" s="1">
        <v>19506.343000000001</v>
      </c>
      <c r="AG56" s="1">
        <v>16931.843000000001</v>
      </c>
      <c r="AH56" s="1">
        <v>18467.615000000002</v>
      </c>
      <c r="AI56" s="1">
        <v>17611.888999999999</v>
      </c>
      <c r="AK56" s="1">
        <v>19489.187000000002</v>
      </c>
    </row>
    <row r="57" spans="1:37" ht="12.75" customHeight="1">
      <c r="A57" s="1" t="s">
        <v>68</v>
      </c>
      <c r="J57" s="157">
        <v>362.50599999999997</v>
      </c>
      <c r="M57" s="1">
        <v>734.19</v>
      </c>
      <c r="O57" s="1">
        <v>417.73471000000001</v>
      </c>
      <c r="R57" s="27">
        <v>301.06299999999999</v>
      </c>
      <c r="S57" s="1">
        <v>281.39999999999998</v>
      </c>
      <c r="T57" s="1">
        <v>402.07900000000001</v>
      </c>
      <c r="U57" s="1">
        <v>337.07600000000002</v>
      </c>
      <c r="V57" s="1">
        <v>7954.1589999999997</v>
      </c>
      <c r="W57" s="157">
        <v>8619.8850000000002</v>
      </c>
      <c r="X57" s="157">
        <v>8348.4940000000006</v>
      </c>
      <c r="Y57" s="157">
        <v>0</v>
      </c>
      <c r="Z57" s="157">
        <v>232.49700000000001</v>
      </c>
      <c r="AA57" s="157">
        <v>230.36600000000001</v>
      </c>
      <c r="AB57" s="157">
        <v>4779.1620000000003</v>
      </c>
      <c r="AC57" s="157">
        <v>3041</v>
      </c>
      <c r="AD57" s="1">
        <v>1991.202</v>
      </c>
      <c r="AE57" s="1">
        <v>10838.197</v>
      </c>
      <c r="AF57" s="1">
        <v>10938.324000000001</v>
      </c>
      <c r="AG57" s="1">
        <v>790.71699999999998</v>
      </c>
      <c r="AH57" s="1">
        <v>2835.7289999999998</v>
      </c>
      <c r="AI57" s="1">
        <v>2828.0189999999998</v>
      </c>
      <c r="AK57" s="1">
        <v>1908.0239999999999</v>
      </c>
    </row>
    <row r="58" spans="1:37" ht="12.75" customHeight="1">
      <c r="A58" s="1" t="s">
        <v>69</v>
      </c>
      <c r="J58" s="157">
        <v>14366.092000000001</v>
      </c>
      <c r="M58" s="1">
        <v>18403.748</v>
      </c>
      <c r="O58" s="1">
        <v>19873.234</v>
      </c>
      <c r="R58" s="27">
        <v>24777.456999999999</v>
      </c>
      <c r="S58" s="1">
        <v>27003.674999999999</v>
      </c>
      <c r="T58" s="1">
        <v>19733.886999999999</v>
      </c>
      <c r="U58" s="1">
        <v>18010.507000000001</v>
      </c>
      <c r="V58" s="1">
        <v>27940.738000000001</v>
      </c>
      <c r="W58" s="157">
        <v>34086.214</v>
      </c>
      <c r="X58" s="157">
        <v>27629.126</v>
      </c>
      <c r="Y58" s="157">
        <v>30554.683000000001</v>
      </c>
      <c r="Z58" s="157">
        <v>46259.406999999999</v>
      </c>
      <c r="AA58" s="157">
        <v>37557.245000000003</v>
      </c>
      <c r="AB58" s="157">
        <v>58446.078000000001</v>
      </c>
      <c r="AC58" s="157">
        <v>37172</v>
      </c>
      <c r="AD58" s="1">
        <v>90021.375</v>
      </c>
      <c r="AE58" s="1">
        <v>37159.135000000002</v>
      </c>
      <c r="AF58" s="1">
        <v>33838.478000000003</v>
      </c>
      <c r="AG58" s="1">
        <v>35297.927000000003</v>
      </c>
      <c r="AH58" s="1">
        <v>44833.777000000002</v>
      </c>
      <c r="AI58" s="1">
        <v>53081.453000000001</v>
      </c>
      <c r="AK58" s="1">
        <v>88010.75</v>
      </c>
    </row>
    <row r="59" spans="1:37" ht="12.75" customHeight="1">
      <c r="A59" s="1" t="s">
        <v>70</v>
      </c>
      <c r="J59" s="157">
        <v>40988.828999999998</v>
      </c>
      <c r="M59" s="1">
        <v>51539.163999999997</v>
      </c>
      <c r="O59" s="1">
        <v>43514.036</v>
      </c>
      <c r="R59" s="27">
        <v>38772.046999999999</v>
      </c>
      <c r="S59" s="1">
        <v>42730.837</v>
      </c>
      <c r="T59" s="1">
        <v>46204.845999999998</v>
      </c>
      <c r="U59" s="1">
        <v>50662.330999999998</v>
      </c>
      <c r="V59" s="1">
        <v>52066.495999999999</v>
      </c>
      <c r="W59" s="157">
        <v>69147.900999999998</v>
      </c>
      <c r="X59" s="157">
        <v>64749.483</v>
      </c>
      <c r="Y59" s="157">
        <v>53682.042000000001</v>
      </c>
      <c r="Z59" s="157">
        <v>102965.624</v>
      </c>
      <c r="AA59" s="157">
        <v>101996.54399999999</v>
      </c>
      <c r="AB59" s="157">
        <v>112560.431</v>
      </c>
      <c r="AC59" s="157">
        <v>168452</v>
      </c>
      <c r="AD59" s="1">
        <v>150130.81599999999</v>
      </c>
      <c r="AE59" s="1">
        <v>95553.447</v>
      </c>
      <c r="AF59" s="1">
        <v>88937.505999999994</v>
      </c>
      <c r="AG59" s="1">
        <v>104304.803</v>
      </c>
      <c r="AH59" s="1">
        <v>135334.136</v>
      </c>
      <c r="AI59" s="1">
        <v>160663.614</v>
      </c>
      <c r="AK59" s="1">
        <v>139590.071</v>
      </c>
    </row>
    <row r="60" spans="1:37" ht="12.75" customHeight="1">
      <c r="A60" s="1" t="s">
        <v>71</v>
      </c>
      <c r="J60" s="157">
        <v>12497.65</v>
      </c>
      <c r="M60" s="1">
        <v>11654.942999999999</v>
      </c>
      <c r="O60" s="1">
        <v>11129.859210000001</v>
      </c>
      <c r="R60" s="20">
        <v>11586.721</v>
      </c>
      <c r="S60" s="1">
        <v>12498.282999999999</v>
      </c>
      <c r="T60" s="1">
        <v>15989.8</v>
      </c>
      <c r="U60" s="1">
        <v>19436.439999999999</v>
      </c>
      <c r="V60" s="1">
        <v>23042.642</v>
      </c>
      <c r="W60" s="157">
        <v>25200.796999999999</v>
      </c>
      <c r="X60" s="157">
        <v>29021.093000000001</v>
      </c>
      <c r="Y60" s="157">
        <v>34740.146999999997</v>
      </c>
      <c r="Z60" s="157">
        <v>28990.217000000001</v>
      </c>
      <c r="AA60" s="157">
        <v>37442.792999999998</v>
      </c>
      <c r="AB60" s="157">
        <v>47151.968000000001</v>
      </c>
      <c r="AC60" s="157">
        <v>53040</v>
      </c>
      <c r="AD60" s="1">
        <v>70087.929000000004</v>
      </c>
      <c r="AE60" s="1">
        <v>71355.517000000007</v>
      </c>
      <c r="AF60" s="1">
        <v>65005.122000000003</v>
      </c>
      <c r="AG60" s="1">
        <v>72269.763999999996</v>
      </c>
      <c r="AH60" s="1">
        <v>67544.849000000002</v>
      </c>
      <c r="AI60" s="1">
        <v>66144.764999999999</v>
      </c>
      <c r="AK60" s="1">
        <v>61740.67</v>
      </c>
    </row>
    <row r="61" spans="1:37" ht="12.75" customHeight="1">
      <c r="A61" s="1" t="s">
        <v>72</v>
      </c>
      <c r="J61" s="157">
        <v>793.99599999999998</v>
      </c>
      <c r="M61" s="1">
        <v>1606.644</v>
      </c>
      <c r="O61" s="1">
        <v>1489.1130000000001</v>
      </c>
      <c r="R61" s="20">
        <v>628.69200000000001</v>
      </c>
      <c r="S61" s="1">
        <v>3275.145</v>
      </c>
      <c r="T61" s="1">
        <v>1742.1669999999999</v>
      </c>
      <c r="U61" s="1">
        <v>2186.6089999999999</v>
      </c>
      <c r="V61" s="1">
        <v>3270.7220000000002</v>
      </c>
      <c r="W61" s="157">
        <v>3278.0949999999998</v>
      </c>
      <c r="X61" s="157">
        <v>3221.913</v>
      </c>
      <c r="Y61" s="157">
        <v>3461.4160000000002</v>
      </c>
      <c r="Z61" s="157">
        <v>4487.973</v>
      </c>
      <c r="AA61" s="157">
        <v>3573.6019999999999</v>
      </c>
      <c r="AB61" s="157">
        <v>3623.2629999999999</v>
      </c>
      <c r="AC61" s="157">
        <v>6112</v>
      </c>
      <c r="AD61" s="1">
        <v>8819.93</v>
      </c>
      <c r="AE61" s="1">
        <v>4621.5649999999996</v>
      </c>
      <c r="AF61" s="1">
        <v>3990.0839999999998</v>
      </c>
      <c r="AG61" s="1">
        <v>4332.4930000000004</v>
      </c>
      <c r="AH61" s="1">
        <v>3819.99</v>
      </c>
      <c r="AI61" s="1">
        <v>3744.848</v>
      </c>
      <c r="AK61" s="1">
        <v>3928.7869999999998</v>
      </c>
    </row>
    <row r="62" spans="1:37" ht="12.75" customHeight="1">
      <c r="A62" s="30" t="s">
        <v>73</v>
      </c>
      <c r="B62" s="30"/>
      <c r="C62" s="30"/>
      <c r="D62" s="30"/>
      <c r="E62" s="30"/>
      <c r="F62" s="30"/>
      <c r="G62" s="30"/>
      <c r="H62" s="30"/>
      <c r="I62" s="30"/>
      <c r="J62" s="158">
        <v>1135.9590000000001</v>
      </c>
      <c r="K62" s="30"/>
      <c r="L62" s="30"/>
      <c r="M62" s="30">
        <v>98.046000000000006</v>
      </c>
      <c r="N62" s="30"/>
      <c r="O62" s="30">
        <v>104.809</v>
      </c>
      <c r="P62" s="30"/>
      <c r="Q62" s="30"/>
      <c r="R62" s="40">
        <v>141.17099999999999</v>
      </c>
      <c r="S62" s="30">
        <v>257.94</v>
      </c>
      <c r="T62" s="30">
        <v>67.069999999999993</v>
      </c>
      <c r="U62" s="30">
        <v>1.103</v>
      </c>
      <c r="V62" s="30">
        <v>2060.0369999999998</v>
      </c>
      <c r="W62" s="158">
        <v>2493.4430000000002</v>
      </c>
      <c r="X62" s="158">
        <v>60.746000000000002</v>
      </c>
      <c r="Y62" s="158">
        <v>95.233000000000004</v>
      </c>
      <c r="Z62" s="158">
        <v>94.373999999999995</v>
      </c>
      <c r="AA62" s="158">
        <v>4224.7129999999997</v>
      </c>
      <c r="AB62" s="158">
        <v>92.882000000000005</v>
      </c>
      <c r="AC62" s="158">
        <v>189</v>
      </c>
      <c r="AD62" s="1">
        <v>235.995</v>
      </c>
      <c r="AE62" s="1">
        <v>1546.211</v>
      </c>
      <c r="AF62" s="30">
        <v>340.63099999999997</v>
      </c>
      <c r="AG62" s="30">
        <v>3528.4670000000001</v>
      </c>
      <c r="AH62" s="30">
        <v>126.04300000000001</v>
      </c>
      <c r="AI62" s="30">
        <v>84.474000000000004</v>
      </c>
      <c r="AJ62" s="30"/>
      <c r="AK62" s="30">
        <v>98.716999999999999</v>
      </c>
    </row>
    <row r="63" spans="1:37">
      <c r="A63" s="56" t="s">
        <v>74</v>
      </c>
      <c r="B63" s="53"/>
      <c r="C63" s="53"/>
      <c r="D63" s="53"/>
      <c r="E63" s="53"/>
      <c r="F63" s="53"/>
      <c r="G63" s="53"/>
      <c r="H63" s="53"/>
      <c r="I63" s="53"/>
      <c r="J63" s="159">
        <v>0</v>
      </c>
      <c r="K63" s="53"/>
      <c r="L63" s="53"/>
      <c r="M63" s="53">
        <v>0</v>
      </c>
      <c r="N63" s="53"/>
      <c r="O63" s="53">
        <v>0</v>
      </c>
      <c r="P63" s="53"/>
      <c r="Q63" s="53"/>
      <c r="R63" s="54">
        <v>0</v>
      </c>
      <c r="S63" s="53">
        <v>0</v>
      </c>
      <c r="T63" s="53">
        <v>0</v>
      </c>
      <c r="U63" s="53">
        <v>0</v>
      </c>
      <c r="V63" s="53">
        <v>0</v>
      </c>
      <c r="W63" s="159">
        <v>0</v>
      </c>
      <c r="X63" s="159">
        <v>0</v>
      </c>
      <c r="Y63" s="159">
        <v>0</v>
      </c>
      <c r="Z63" s="159">
        <v>0</v>
      </c>
      <c r="AA63" s="159"/>
      <c r="AB63" s="159">
        <v>0</v>
      </c>
      <c r="AC63" s="159">
        <v>0</v>
      </c>
      <c r="AD63" s="159">
        <v>0</v>
      </c>
      <c r="AE63" s="159">
        <v>0</v>
      </c>
      <c r="AF63" s="30">
        <v>0</v>
      </c>
      <c r="AG63" s="30">
        <v>0</v>
      </c>
      <c r="AH63" s="30"/>
      <c r="AI63" s="30"/>
      <c r="AJ63" s="30"/>
      <c r="AK63" s="30"/>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B67" s="1" t="s">
        <v>158</v>
      </c>
      <c r="W67" s="1"/>
      <c r="X67" s="1"/>
      <c r="Y67" s="1"/>
      <c r="Z67" s="1"/>
      <c r="AA67" s="1"/>
      <c r="AB67" s="1"/>
      <c r="AC67" s="1"/>
    </row>
    <row r="68" spans="2:29" ht="12.75" customHeight="1">
      <c r="B68" s="1" t="s">
        <v>159</v>
      </c>
      <c r="W68" s="1"/>
      <c r="X68" s="1"/>
      <c r="Y68" s="1"/>
      <c r="Z68" s="1"/>
      <c r="AA68" s="1"/>
      <c r="AB68" s="1"/>
      <c r="AC68" s="1"/>
    </row>
    <row r="69" spans="2:29" ht="12.75" customHeight="1">
      <c r="B69" s="1" t="s">
        <v>160</v>
      </c>
      <c r="M69" s="41"/>
      <c r="N69" s="41"/>
    </row>
    <row r="70" spans="2:29" ht="12.75" customHeight="1">
      <c r="B70" s="1" t="s">
        <v>140</v>
      </c>
    </row>
    <row r="71" spans="2:29" ht="12.75" customHeight="1"/>
    <row r="72" spans="2:29" ht="12.75" customHeight="1">
      <c r="B72" s="1" t="s">
        <v>161</v>
      </c>
    </row>
    <row r="73" spans="2:29" ht="12.75" customHeight="1">
      <c r="B73" s="1" t="s">
        <v>162</v>
      </c>
    </row>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election activeCell="R45" sqref="R45"/>
    </sheetView>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rgb="FFFF0000"/>
  </sheetPr>
  <dimension ref="A1:AE79"/>
  <sheetViews>
    <sheetView showGridLines="0" tabSelected="1" view="pageBreakPreview" topLeftCell="Z1" zoomScaleNormal="110" zoomScaleSheetLayoutView="100" workbookViewId="0">
      <selection activeCell="L21" sqref="L21"/>
    </sheetView>
  </sheetViews>
  <sheetFormatPr defaultColWidth="9.7109375" defaultRowHeight="12.75"/>
  <cols>
    <col min="1" max="1" width="7.5703125" customWidth="1"/>
    <col min="2" max="2" width="9.7109375" customWidth="1"/>
    <col min="3" max="3" width="8.85546875" style="14" customWidth="1"/>
    <col min="4" max="5" width="8.7109375" customWidth="1"/>
    <col min="6" max="7" width="9.7109375" customWidth="1"/>
    <col min="8" max="11" width="8.7109375" customWidth="1"/>
    <col min="12" max="13" width="9.7109375" customWidth="1"/>
    <col min="14" max="14" width="8.7109375" customWidth="1"/>
    <col min="15" max="15" width="4.28515625" customWidth="1"/>
    <col min="16" max="16" width="7.85546875" customWidth="1"/>
    <col min="17" max="17" width="7.140625" customWidth="1"/>
    <col min="18" max="18" width="7.28515625" customWidth="1"/>
    <col min="19" max="20" width="9.5703125" customWidth="1"/>
    <col min="21" max="21" width="7.140625" customWidth="1"/>
    <col min="22" max="22" width="3" customWidth="1"/>
    <col min="23" max="24" width="8.85546875" customWidth="1"/>
    <col min="25" max="25" width="1.85546875" customWidth="1"/>
  </cols>
  <sheetData>
    <row r="1" spans="1:31">
      <c r="A1" s="6" t="s">
        <v>80</v>
      </c>
      <c r="B1" s="6"/>
      <c r="C1" s="4"/>
      <c r="D1" s="4"/>
      <c r="E1" s="6"/>
      <c r="F1" s="4"/>
      <c r="G1" s="4"/>
      <c r="I1" s="4"/>
      <c r="J1" s="4"/>
      <c r="K1" s="4"/>
      <c r="L1" s="4"/>
      <c r="M1" s="4"/>
      <c r="N1" s="4"/>
      <c r="O1" s="10"/>
      <c r="P1" s="10"/>
      <c r="Q1" s="10"/>
      <c r="R1" s="10"/>
      <c r="S1" s="147"/>
      <c r="T1" s="10"/>
      <c r="U1" s="10"/>
      <c r="V1" s="10"/>
      <c r="W1" s="15"/>
      <c r="X1" s="15"/>
      <c r="Y1" s="1"/>
      <c r="Z1" s="1"/>
      <c r="AA1" s="1"/>
      <c r="AB1" s="1"/>
      <c r="AC1" s="1"/>
      <c r="AD1" s="1"/>
      <c r="AE1" s="1"/>
    </row>
    <row r="2" spans="1:31" ht="14.25">
      <c r="A2" s="6" t="s">
        <v>1</v>
      </c>
      <c r="B2" s="6"/>
      <c r="C2" s="1"/>
      <c r="D2" s="1"/>
      <c r="E2" s="6"/>
      <c r="F2" s="1"/>
      <c r="G2" s="1"/>
      <c r="H2" s="1"/>
      <c r="I2" s="4"/>
      <c r="J2" s="4"/>
      <c r="K2" s="4"/>
      <c r="L2" s="4"/>
      <c r="M2" s="6"/>
      <c r="N2" s="4"/>
      <c r="O2" s="1"/>
      <c r="P2" s="1"/>
      <c r="Q2" s="1"/>
      <c r="R2" s="1"/>
      <c r="S2" s="1"/>
      <c r="T2" s="1"/>
      <c r="U2" s="1"/>
      <c r="V2" s="1"/>
      <c r="W2" s="15"/>
      <c r="X2" s="15"/>
      <c r="Y2" s="1"/>
      <c r="Z2" s="1"/>
      <c r="AA2" s="1"/>
      <c r="AB2" s="1"/>
      <c r="AC2" s="1"/>
      <c r="AD2" s="1"/>
      <c r="AE2" s="1"/>
    </row>
    <row r="3" spans="1:31">
      <c r="A3" s="6" t="s">
        <v>81</v>
      </c>
      <c r="B3" s="6"/>
      <c r="C3" s="1"/>
      <c r="D3" s="1"/>
      <c r="E3" s="6"/>
      <c r="F3" s="1"/>
      <c r="G3" s="1"/>
      <c r="H3" s="1"/>
      <c r="I3" s="4"/>
      <c r="J3" s="4"/>
      <c r="K3" s="4"/>
      <c r="L3" s="4"/>
      <c r="M3" s="4"/>
      <c r="N3" s="4"/>
      <c r="O3" s="23"/>
      <c r="P3" s="1"/>
      <c r="Q3" s="1"/>
      <c r="R3" s="1"/>
      <c r="S3" s="1"/>
      <c r="T3" s="1"/>
      <c r="U3" s="1"/>
      <c r="V3" s="1"/>
      <c r="W3" s="15"/>
      <c r="X3" s="15"/>
      <c r="Y3" s="1"/>
      <c r="Z3" s="1"/>
      <c r="AA3" s="1"/>
      <c r="AB3" s="1"/>
      <c r="AC3" s="1"/>
      <c r="AD3" s="1"/>
      <c r="AE3" s="1"/>
    </row>
    <row r="4" spans="1:31">
      <c r="A4" s="1"/>
      <c r="B4" s="1"/>
      <c r="C4" s="1"/>
      <c r="D4" s="1"/>
      <c r="E4" s="1"/>
      <c r="F4" s="1"/>
      <c r="G4" s="1"/>
      <c r="H4" s="1"/>
      <c r="I4" s="1"/>
      <c r="J4" s="1"/>
      <c r="K4" s="1"/>
      <c r="L4" s="1"/>
      <c r="M4" s="1"/>
      <c r="N4" s="1"/>
      <c r="O4" s="23"/>
      <c r="P4" s="1"/>
      <c r="Q4" s="1"/>
      <c r="R4" s="1"/>
      <c r="S4" s="1"/>
      <c r="T4" s="1"/>
      <c r="U4" s="1"/>
      <c r="V4" s="1"/>
      <c r="W4" s="15"/>
      <c r="X4" s="15"/>
      <c r="Y4" s="1"/>
      <c r="Z4" s="1"/>
      <c r="AA4" s="1"/>
      <c r="AB4" s="1"/>
      <c r="AC4" s="1"/>
      <c r="AD4" s="1"/>
      <c r="AE4" s="1"/>
    </row>
    <row r="5" spans="1:31">
      <c r="A5" s="7"/>
      <c r="B5" s="7"/>
      <c r="C5" s="2" t="s">
        <v>3</v>
      </c>
      <c r="D5" s="2"/>
      <c r="E5" s="2"/>
      <c r="F5" s="2"/>
      <c r="G5" s="2"/>
      <c r="H5" s="2"/>
      <c r="I5" s="74" t="s">
        <v>82</v>
      </c>
      <c r="J5" s="2"/>
      <c r="K5" s="2"/>
      <c r="L5" s="120"/>
      <c r="M5" s="2"/>
      <c r="N5" s="2"/>
      <c r="O5" s="23"/>
      <c r="P5" s="2" t="s">
        <v>5</v>
      </c>
      <c r="Q5" s="2"/>
      <c r="R5" s="2"/>
      <c r="S5" s="2"/>
      <c r="T5" s="2"/>
      <c r="U5" s="2"/>
      <c r="V5" s="4"/>
      <c r="W5" s="15"/>
      <c r="X5" s="15"/>
      <c r="Y5" s="1"/>
      <c r="Z5" s="1"/>
      <c r="AA5" s="1"/>
      <c r="AB5" s="1"/>
      <c r="AC5" s="1"/>
      <c r="AD5" s="1"/>
      <c r="AE5" s="1"/>
    </row>
    <row r="6" spans="1:31">
      <c r="A6" s="8"/>
      <c r="B6" s="8"/>
      <c r="C6" s="96"/>
      <c r="D6" s="17"/>
      <c r="E6" s="18"/>
      <c r="F6" s="74"/>
      <c r="G6" s="18"/>
      <c r="H6" s="17"/>
      <c r="I6" s="74"/>
      <c r="J6" s="17"/>
      <c r="K6" s="18"/>
      <c r="L6" s="74"/>
      <c r="M6" s="18"/>
      <c r="N6" s="17"/>
      <c r="O6" s="23"/>
      <c r="P6" s="2" t="s">
        <v>6</v>
      </c>
      <c r="Q6" s="17"/>
      <c r="R6" s="18"/>
      <c r="S6" s="2" t="s">
        <v>83</v>
      </c>
      <c r="T6" s="18"/>
      <c r="U6" s="3"/>
      <c r="V6" s="1"/>
      <c r="W6" s="15"/>
      <c r="X6" s="15"/>
      <c r="Y6" s="1"/>
      <c r="Z6" s="1"/>
      <c r="AA6" s="1"/>
      <c r="AB6" s="1"/>
      <c r="AC6" s="1"/>
      <c r="AD6" s="1"/>
      <c r="AE6" s="1"/>
    </row>
    <row r="7" spans="1:31">
      <c r="A7" s="8"/>
      <c r="B7" s="8"/>
      <c r="C7" s="170" t="s">
        <v>96</v>
      </c>
      <c r="D7" s="28" t="s">
        <v>7</v>
      </c>
      <c r="E7" s="29"/>
      <c r="F7" s="75" t="s">
        <v>8</v>
      </c>
      <c r="G7" s="44"/>
      <c r="H7" s="19" t="s">
        <v>9</v>
      </c>
      <c r="I7" s="171" t="s">
        <v>96</v>
      </c>
      <c r="J7" s="28" t="s">
        <v>7</v>
      </c>
      <c r="K7" s="29"/>
      <c r="L7" s="75" t="s">
        <v>8</v>
      </c>
      <c r="M7" s="44"/>
      <c r="N7" s="19" t="s">
        <v>9</v>
      </c>
      <c r="O7" s="23"/>
      <c r="P7" s="4" t="s">
        <v>10</v>
      </c>
      <c r="Q7" s="164" t="s">
        <v>7</v>
      </c>
      <c r="R7" s="165"/>
      <c r="S7" s="4" t="s">
        <v>8</v>
      </c>
      <c r="T7" s="44"/>
      <c r="U7" s="4" t="s">
        <v>9</v>
      </c>
      <c r="V7" s="4" t="s">
        <v>84</v>
      </c>
      <c r="W7" s="49" t="s">
        <v>85</v>
      </c>
      <c r="X7" s="49"/>
      <c r="Y7" s="1"/>
      <c r="Z7" s="107" t="s">
        <v>12</v>
      </c>
      <c r="AA7" s="108"/>
      <c r="AB7" s="107" t="s">
        <v>8</v>
      </c>
      <c r="AC7" s="108"/>
      <c r="AD7" s="49" t="s">
        <v>85</v>
      </c>
      <c r="AE7" s="49"/>
    </row>
    <row r="8" spans="1:31" ht="14.25">
      <c r="A8" s="9"/>
      <c r="B8" s="9"/>
      <c r="C8" s="168"/>
      <c r="D8" s="122" t="s">
        <v>14</v>
      </c>
      <c r="E8" s="123" t="s">
        <v>15</v>
      </c>
      <c r="F8" s="122" t="s">
        <v>16</v>
      </c>
      <c r="G8" s="124" t="s">
        <v>17</v>
      </c>
      <c r="H8" s="125" t="s">
        <v>18</v>
      </c>
      <c r="I8" s="169"/>
      <c r="J8" s="122" t="s">
        <v>14</v>
      </c>
      <c r="K8" s="123" t="s">
        <v>15</v>
      </c>
      <c r="L8" s="122" t="s">
        <v>16</v>
      </c>
      <c r="M8" s="124" t="s">
        <v>17</v>
      </c>
      <c r="N8" s="125" t="s">
        <v>18</v>
      </c>
      <c r="O8" s="23"/>
      <c r="P8" s="124" t="s">
        <v>13</v>
      </c>
      <c r="Q8" s="122" t="s">
        <v>14</v>
      </c>
      <c r="R8" s="123" t="s">
        <v>15</v>
      </c>
      <c r="S8" s="126" t="s">
        <v>16</v>
      </c>
      <c r="T8" s="124" t="s">
        <v>17</v>
      </c>
      <c r="U8" s="125" t="s">
        <v>18</v>
      </c>
      <c r="V8" s="5"/>
      <c r="W8" s="129" t="s">
        <v>5</v>
      </c>
      <c r="X8" s="128" t="s">
        <v>3</v>
      </c>
      <c r="Y8" s="1"/>
      <c r="Z8" s="129" t="s">
        <v>5</v>
      </c>
      <c r="AA8" s="128" t="s">
        <v>3</v>
      </c>
      <c r="AB8" s="129" t="s">
        <v>5</v>
      </c>
      <c r="AC8" s="128" t="s">
        <v>3</v>
      </c>
      <c r="AD8" s="129" t="s">
        <v>5</v>
      </c>
      <c r="AE8" s="137" t="s">
        <v>3</v>
      </c>
    </row>
    <row r="9" spans="1:31">
      <c r="A9" s="69" t="s">
        <v>19</v>
      </c>
      <c r="B9" s="69"/>
      <c r="C9" s="78">
        <f>('Tuition-2Yr'!AK4/'Total E&amp;G-2Yr'!AK4)*100</f>
        <v>31.838041130483663</v>
      </c>
      <c r="D9" s="82">
        <f>('State Appropriations-2Yr'!AK4)/('Total E&amp;G-2Yr'!AK4)*100</f>
        <v>23.27118177743035</v>
      </c>
      <c r="E9" s="130">
        <f>IF((('Local Appropriations-2Yr'!AK4/'Total E&amp;G-2Yr'!AK4)*100)=0,(('Local Appropriations-2Yr'!AK4/'Total E&amp;G-2Yr'!AK4)*100),IF((('Local Appropriations-2Yr'!AK4/'Total E&amp;G-2Yr'!AK4)*100)&gt;=0.005,('Local Appropriations-2Yr'!AK4/'Total E&amp;G-2Yr'!AK4)*100,"*"))</f>
        <v>16.902642930183127</v>
      </c>
      <c r="F9" s="82">
        <f>('Fed Contracts Grnts-2Yr'!AK4)/('Total E&amp;G-2Yr'!AK4)*100</f>
        <v>15.364708662461259</v>
      </c>
      <c r="G9" s="78">
        <f>('Other Contracts Grnts-2Yr'!AK4/'Total E&amp;G-2Yr'!AK4)*100</f>
        <v>8.4663817817378089</v>
      </c>
      <c r="H9" s="82">
        <f>('All Other E&amp;G-2Yr'!AK4+'Investment Income-2Yr'!AK4)/('Total E&amp;G-2Yr'!AK4)*100</f>
        <v>4.1570437177037878</v>
      </c>
      <c r="I9" s="82">
        <f t="shared" ref="I9:N10" si="0">IF((C9-P9)=0,(C9-P9),IF((C9-P9)&gt;=0.005,(C9-P9),IF((C9-P9&lt;=-0.005),(C9-P9),"*")))</f>
        <v>2.9166372750769511</v>
      </c>
      <c r="J9" s="82">
        <f t="shared" si="0"/>
        <v>-1.5241416408889954</v>
      </c>
      <c r="K9" s="78">
        <f t="shared" si="0"/>
        <v>2.8095988673718324</v>
      </c>
      <c r="L9" s="82">
        <f t="shared" si="0"/>
        <v>-7.2374031154051135</v>
      </c>
      <c r="M9" s="78">
        <f t="shared" si="0"/>
        <v>2.1463744169135532</v>
      </c>
      <c r="N9" s="82">
        <f t="shared" si="0"/>
        <v>0.88893419693177789</v>
      </c>
      <c r="O9" s="23"/>
      <c r="P9" s="45">
        <f>('Tuition-2Yr'!AF4/'Total E&amp;G-2Yr'!AF4)*100</f>
        <v>28.921403855406712</v>
      </c>
      <c r="Q9" s="46">
        <f>('State Appropriations-2Yr'!AF4/'Total E&amp;G-2Yr'!AF4)*100</f>
        <v>24.795323418319345</v>
      </c>
      <c r="R9" s="47">
        <f>IF((('Local Appropriations-2Yr'!AF4/'Total E&amp;G-2Yr'!AF4)*100)&gt;=0.005,('Local Appropriations-2Yr'!AF4/'Total E&amp;G-2Yr'!AF4)*100,"*")</f>
        <v>14.093044062811295</v>
      </c>
      <c r="S9" s="45">
        <f>('Fed Contracts Grnts-2Yr'!AF4/'Total E&amp;G-2Yr'!AF4)*100</f>
        <v>22.602111777866373</v>
      </c>
      <c r="T9" s="47">
        <f>('Other Contracts Grnts-2Yr'!AF4/'Total E&amp;G-2Yr'!AF4)*100</f>
        <v>6.3200073648242556</v>
      </c>
      <c r="U9" s="45">
        <f>IF(((('Investment Income-2Yr'!AF4+'All Other E&amp;G-2Yr'!AF4)/'Total E&amp;G-2Yr'!AF4)*100)&gt;=0.005,(('Investment Income-2Yr'!AF4+'All Other E&amp;G-2Yr'!AF4)/'Total E&amp;G-2Yr'!AF4)*100,"*")</f>
        <v>3.2681095207720099</v>
      </c>
      <c r="V9" s="5"/>
      <c r="W9" s="16">
        <f>SUM(P9:U9)</f>
        <v>99.999999999999986</v>
      </c>
      <c r="X9" s="16">
        <f>SUM(C9:H9)</f>
        <v>100</v>
      </c>
      <c r="Y9" s="1"/>
      <c r="Z9" s="109">
        <f>Q9+R9</f>
        <v>38.888367481130643</v>
      </c>
      <c r="AA9" s="110">
        <f>D9+E9</f>
        <v>40.173824707613477</v>
      </c>
      <c r="AB9" s="109">
        <f>+T9+S9</f>
        <v>28.922119142690629</v>
      </c>
      <c r="AC9" s="110">
        <f>+G9+F9</f>
        <v>23.83109044419907</v>
      </c>
      <c r="AD9" s="113">
        <f>+AB9+Z9+U9+P9</f>
        <v>100</v>
      </c>
      <c r="AE9" s="114">
        <f>+AC9+AA9+H9+C9</f>
        <v>100</v>
      </c>
    </row>
    <row r="10" spans="1:31">
      <c r="A10" s="70" t="s">
        <v>20</v>
      </c>
      <c r="B10" s="70"/>
      <c r="C10" s="76">
        <f>('Tuition-2Yr'!AK5/'Total E&amp;G-2Yr'!AK5)*100</f>
        <v>35.686169602852956</v>
      </c>
      <c r="D10" s="83">
        <f>('State Appropriations-2Yr'!AK5)/('Total E&amp;G-2Yr'!AK5)*100</f>
        <v>25.438372509429115</v>
      </c>
      <c r="E10" s="76">
        <f>IF((('Local Appropriations-2Yr'!AK5/'Total E&amp;G-2Yr'!AK5)*100)=0,(('Local Appropriations-2Yr'!AK5/'Total E&amp;G-2Yr'!AK5)*100),IF((('Local Appropriations-2Yr'!AK5/'Total E&amp;G-2Yr'!AK5)*100)&gt;=0.005,('Local Appropriations-2Yr'!AK5/'Total E&amp;G-2Yr'!AK5)*100,"*"))</f>
        <v>12.616391912975716</v>
      </c>
      <c r="F10" s="83">
        <f>('Fed Contracts Grnts-2Yr'!AK5)/('Total E&amp;G-2Yr'!AK5)*100</f>
        <v>18.461062132526258</v>
      </c>
      <c r="G10" s="76">
        <f>('Other Contracts Grnts-2Yr'!AK5/'Total E&amp;G-2Yr'!AK5)*100</f>
        <v>4.9653615311726558</v>
      </c>
      <c r="H10" s="83">
        <f>('All Other E&amp;G-2Yr'!AK5+'Investment Income-2Yr'!AK5)/('Total E&amp;G-2Yr'!AK5)*100</f>
        <v>2.8326423110432919</v>
      </c>
      <c r="I10" s="83">
        <f t="shared" si="0"/>
        <v>5.9631364845274923</v>
      </c>
      <c r="J10" s="83">
        <f t="shared" si="0"/>
        <v>-1.6132992739602479</v>
      </c>
      <c r="K10" s="76">
        <f t="shared" si="0"/>
        <v>1.4656418222787568</v>
      </c>
      <c r="L10" s="83">
        <f t="shared" si="0"/>
        <v>-6.9437385718777556</v>
      </c>
      <c r="M10" s="76">
        <f t="shared" si="0"/>
        <v>0.24102296097716547</v>
      </c>
      <c r="N10" s="83">
        <f t="shared" si="0"/>
        <v>0.88723657805459633</v>
      </c>
      <c r="O10" s="23"/>
      <c r="P10" s="45">
        <f>('Tuition-2Yr'!AF5/'Total E&amp;G-2Yr'!AF5)*100</f>
        <v>29.723033118325464</v>
      </c>
      <c r="Q10" s="46">
        <f>('State Appropriations-2Yr'!AF5/'Total E&amp;G-2Yr'!AF5)*100</f>
        <v>27.051671783389363</v>
      </c>
      <c r="R10" s="47">
        <f>IF((('Local Appropriations-2Yr'!AF5/'Total E&amp;G-2Yr'!AF5)*100)&gt;=0.005,('Local Appropriations-2Yr'!AF5/'Total E&amp;G-2Yr'!AF5)*100,"*")</f>
        <v>11.15075009069696</v>
      </c>
      <c r="S10" s="45">
        <f>('Fed Contracts Grnts-2Yr'!AF5/'Total E&amp;G-2Yr'!AF5)*100</f>
        <v>25.404800704404014</v>
      </c>
      <c r="T10" s="47">
        <f>('Other Contracts Grnts-2Yr'!AF5/'Total E&amp;G-2Yr'!AF5)*100</f>
        <v>4.7243385701954903</v>
      </c>
      <c r="U10" s="45">
        <f>IF(((('Investment Income-2Yr'!AF5+'All Other E&amp;G-2Yr'!AF5)/'Total E&amp;G-2Yr'!AF5)*100)&gt;=0.005,(('Investment Income-2Yr'!AF5+'All Other E&amp;G-2Yr'!AF5)/'Total E&amp;G-2Yr'!AF5)*100,"*")</f>
        <v>1.9454057329886956</v>
      </c>
      <c r="V10" s="45"/>
      <c r="W10" s="16">
        <f t="shared" ref="W10:W68" si="1">SUM(P10:U10)</f>
        <v>99.999999999999972</v>
      </c>
      <c r="X10" s="16">
        <f t="shared" ref="X10:X68" si="2">SUM(C10:H10)</f>
        <v>99.999999999999986</v>
      </c>
      <c r="Y10" s="1"/>
      <c r="Z10" s="109">
        <f t="shared" ref="Z10:Z68" si="3">Q10+R10</f>
        <v>38.202421874086326</v>
      </c>
      <c r="AA10" s="110">
        <f>D10+E10</f>
        <v>38.05476442240483</v>
      </c>
      <c r="AB10" s="109">
        <f t="shared" ref="AB10:AB68" si="4">+T10+S10</f>
        <v>30.129139274599503</v>
      </c>
      <c r="AC10" s="110">
        <f t="shared" ref="AC10:AC68" si="5">+G10+F10</f>
        <v>23.426423663698912</v>
      </c>
      <c r="AD10" s="109">
        <f t="shared" ref="AD10:AD68" si="6">+AB10+Z10+U10+P10</f>
        <v>99.999999999999986</v>
      </c>
      <c r="AE10" s="110">
        <f t="shared" ref="AE10:AE68" si="7">+AC10+AA10+H10+C10</f>
        <v>99.999999999999986</v>
      </c>
    </row>
    <row r="11" spans="1:31">
      <c r="A11" s="70"/>
      <c r="B11" s="70"/>
      <c r="C11" s="76"/>
      <c r="D11" s="83"/>
      <c r="E11" s="76"/>
      <c r="F11" s="83"/>
      <c r="G11" s="76"/>
      <c r="H11" s="83"/>
      <c r="I11" s="83"/>
      <c r="J11" s="83"/>
      <c r="K11" s="76"/>
      <c r="L11" s="83"/>
      <c r="M11" s="76"/>
      <c r="N11" s="83"/>
      <c r="O11" s="23"/>
      <c r="P11" s="45"/>
      <c r="Q11" s="46"/>
      <c r="R11" s="47"/>
      <c r="S11" s="45"/>
      <c r="T11" s="47"/>
      <c r="U11" s="45"/>
      <c r="V11" s="45"/>
      <c r="W11" s="16"/>
      <c r="X11" s="16"/>
      <c r="Y11" s="1"/>
      <c r="Z11" s="109"/>
      <c r="AA11" s="110"/>
      <c r="AB11" s="109"/>
      <c r="AC11" s="110"/>
      <c r="AD11" s="109"/>
      <c r="AE11" s="110"/>
    </row>
    <row r="12" spans="1:31">
      <c r="A12" s="71" t="s">
        <v>21</v>
      </c>
      <c r="B12" s="71"/>
      <c r="C12" s="77">
        <f>('Tuition-2Yr'!AK7/'Total E&amp;G-2Yr'!AK7)*100</f>
        <v>38.589772449807839</v>
      </c>
      <c r="D12" s="84">
        <f>('State Appropriations-2Yr'!AK7)/('Total E&amp;G-2Yr'!AK7)*100</f>
        <v>31.80152817466934</v>
      </c>
      <c r="E12" s="77">
        <f>IF((('Local Appropriations-2Yr'!AK7/'Total E&amp;G-2Yr'!AK7)*100)=0,(('Local Appropriations-2Yr'!AK7/'Total E&amp;G-2Yr'!AK7)*100),IF((('Local Appropriations-2Yr'!AK7/'Total E&amp;G-2Yr'!AK7)*100)&gt;=0.005,('Local Appropriations-2Yr'!AK7/'Total E&amp;G-2Yr'!AK7)*100,"*"))</f>
        <v>0.31114426017816466</v>
      </c>
      <c r="F12" s="84">
        <f>('Fed Contracts Grnts-2Yr'!AK7)/('Total E&amp;G-2Yr'!AK7)*100</f>
        <v>22.913320089782658</v>
      </c>
      <c r="G12" s="77">
        <f>('Other Contracts Grnts-2Yr'!AK7/'Total E&amp;G-2Yr'!AK7)*100</f>
        <v>4.4874975248327047</v>
      </c>
      <c r="H12" s="84">
        <f>('All Other E&amp;G-2Yr'!AK7+'Investment Income-2Yr'!AK7)/('Total E&amp;G-2Yr'!AK7)*100</f>
        <v>1.8967375007292897</v>
      </c>
      <c r="I12" s="84">
        <f t="shared" ref="I12:I28" si="8">IF((C12-P12)=0,(C12-P12),IF((C12-P12)&gt;=0.005,(C12-P12),IF((C12-P12&lt;=-0.005),(C12-P12),"*")))</f>
        <v>5.7817685547509186</v>
      </c>
      <c r="J12" s="84">
        <f t="shared" ref="J12:J28" si="9">IF((D12-Q12)=0,(D12-Q12),IF((D12-Q12)&gt;=0.005,(D12-Q12),IF((D12-Q12&lt;=-0.005),(D12-Q12),"*")))</f>
        <v>-0.22571772668303325</v>
      </c>
      <c r="K12" s="77">
        <f t="shared" ref="K12:K28" si="10">IF((E12-R12)=0,(E12-R12),IF((E12-R12)&gt;=0.005,(E12-R12),IF((E12-R12&lt;=-0.005),(E12-R12),"*")))</f>
        <v>8.317757942993953E-2</v>
      </c>
      <c r="L12" s="84">
        <f t="shared" ref="L12:L28" si="11">IF((F12-S12)=0,(F12-S12),IF((F12-S12)&gt;=0.005,(F12-S12),IF((F12-S12&lt;=-0.005),(F12-S12),"*")))</f>
        <v>-7.4041548299214206</v>
      </c>
      <c r="M12" s="77">
        <f t="shared" ref="M12:M28" si="12">IF((G12-T12)=0,(G12-T12),IF((G12-T12)&gt;=0.005,(G12-T12),IF((G12-T12&lt;=-0.005),(G12-T12),"*")))</f>
        <v>1.3230508624240125</v>
      </c>
      <c r="N12" s="84">
        <f t="shared" ref="N12:N28" si="13">IF((H12-U12)=0,(H12-U12),IF((H12-U12)&gt;=0.005,(H12-U12),IF((H12-U12&lt;=-0.005),(H12-U12),"*")))</f>
        <v>0.44187555999960404</v>
      </c>
      <c r="O12" s="23"/>
      <c r="P12" s="24">
        <f>('Tuition-2Yr'!AF7/'Total E&amp;G-2Yr'!AF7)*100</f>
        <v>32.80800389505692</v>
      </c>
      <c r="Q12" s="25">
        <f>('State Appropriations-2Yr'!AF7/'Total E&amp;G-2Yr'!AF7)*100</f>
        <v>32.027245901352373</v>
      </c>
      <c r="R12" s="26">
        <f>IF((('Local Appropriations-2Yr'!AF7/'Total E&amp;G-2Yr'!AF7)*100)&gt;=0.005,('Local Appropriations-2Yr'!AF7/'Total E&amp;G-2Yr'!AF7)*100,"*")</f>
        <v>0.22796668074822513</v>
      </c>
      <c r="S12" s="24">
        <f>('Fed Contracts Grnts-2Yr'!AF7/'Total E&amp;G-2Yr'!AF7)*100</f>
        <v>30.317474919704079</v>
      </c>
      <c r="T12" s="26">
        <f>('Other Contracts Grnts-2Yr'!AF7/'Total E&amp;G-2Yr'!AF7)*100</f>
        <v>3.1644466624086922</v>
      </c>
      <c r="U12" s="24">
        <f>IF(((('Investment Income-2Yr'!AF7+'All Other E&amp;G-2Yr'!AF7)/'Total E&amp;G-2Yr'!AF7)*100)&gt;=0.005,(('Investment Income-2Yr'!AF7+'All Other E&amp;G-2Yr'!AF7)/'Total E&amp;G-2Yr'!AF7)*100,"*")</f>
        <v>1.4548619407296857</v>
      </c>
      <c r="V12" s="24"/>
      <c r="W12" s="16">
        <f t="shared" si="1"/>
        <v>99.999999999999986</v>
      </c>
      <c r="X12" s="16">
        <f t="shared" si="2"/>
        <v>100</v>
      </c>
      <c r="Y12" s="1"/>
      <c r="Z12" s="109">
        <f t="shared" si="3"/>
        <v>32.255212582100597</v>
      </c>
      <c r="AA12" s="110">
        <f t="shared" ref="AA12:AA68" si="14">D12+E12</f>
        <v>32.112672434847504</v>
      </c>
      <c r="AB12" s="109">
        <f t="shared" si="4"/>
        <v>33.481921582112768</v>
      </c>
      <c r="AC12" s="110">
        <f t="shared" si="5"/>
        <v>27.400817614615363</v>
      </c>
      <c r="AD12" s="109">
        <f t="shared" si="6"/>
        <v>99.999999999999972</v>
      </c>
      <c r="AE12" s="110">
        <f t="shared" si="7"/>
        <v>100</v>
      </c>
    </row>
    <row r="13" spans="1:31">
      <c r="A13" s="71" t="s">
        <v>22</v>
      </c>
      <c r="B13" s="71"/>
      <c r="C13" s="77">
        <f>('Tuition-2Yr'!AK8/'Total E&amp;G-2Yr'!AK8)*100</f>
        <v>32.177223433642745</v>
      </c>
      <c r="D13" s="84">
        <f>('State Appropriations-2Yr'!AK8)/('Total E&amp;G-2Yr'!AK8)*100</f>
        <v>31.844336983565867</v>
      </c>
      <c r="E13" s="77">
        <f>IF((('Local Appropriations-2Yr'!AK8/'Total E&amp;G-2Yr'!AK8)*100)=0,(('Local Appropriations-2Yr'!AK8/'Total E&amp;G-2Yr'!AK8)*100),IF((('Local Appropriations-2Yr'!AK8/'Total E&amp;G-2Yr'!AK8)*100)&gt;=0.005,('Local Appropriations-2Yr'!AK8/'Total E&amp;G-2Yr'!AK8)*100,"*"))</f>
        <v>5.3070406060673001</v>
      </c>
      <c r="F13" s="84">
        <f>('Fed Contracts Grnts-2Yr'!AK8)/('Total E&amp;G-2Yr'!AK8)*100</f>
        <v>21.263628893053273</v>
      </c>
      <c r="G13" s="77">
        <f>('Other Contracts Grnts-2Yr'!AK8/'Total E&amp;G-2Yr'!AK8)*100</f>
        <v>7.807731468764854</v>
      </c>
      <c r="H13" s="84">
        <f>('All Other E&amp;G-2Yr'!AK8+'Investment Income-2Yr'!AK8)/('Total E&amp;G-2Yr'!AK8)*100</f>
        <v>1.6000386149059524</v>
      </c>
      <c r="I13" s="84">
        <f t="shared" si="8"/>
        <v>5.2651150504208388</v>
      </c>
      <c r="J13" s="84">
        <f t="shared" si="9"/>
        <v>-0.13168245455655381</v>
      </c>
      <c r="K13" s="77">
        <f t="shared" si="10"/>
        <v>0.52294084331999535</v>
      </c>
      <c r="L13" s="84">
        <f t="shared" si="11"/>
        <v>-7.54427416413386</v>
      </c>
      <c r="M13" s="77">
        <f t="shared" si="12"/>
        <v>1.270201012289359</v>
      </c>
      <c r="N13" s="84">
        <f t="shared" si="13"/>
        <v>0.61769971266020229</v>
      </c>
      <c r="O13" s="23"/>
      <c r="P13" s="24">
        <f>('Tuition-2Yr'!AF8/'Total E&amp;G-2Yr'!AF8)*100</f>
        <v>26.912108383221906</v>
      </c>
      <c r="Q13" s="25">
        <f>('State Appropriations-2Yr'!AF8/'Total E&amp;G-2Yr'!AF8)*100</f>
        <v>31.976019438122421</v>
      </c>
      <c r="R13" s="26">
        <f>IF((('Local Appropriations-2Yr'!AF8/'Total E&amp;G-2Yr'!AF8)*100)&gt;=0.005,('Local Appropriations-2Yr'!AF8/'Total E&amp;G-2Yr'!AF8)*100,"*")</f>
        <v>4.7840997627473048</v>
      </c>
      <c r="S13" s="24">
        <f>('Fed Contracts Grnts-2Yr'!AF8/'Total E&amp;G-2Yr'!AF8)*100</f>
        <v>28.807903057187133</v>
      </c>
      <c r="T13" s="26">
        <f>('Other Contracts Grnts-2Yr'!AF8/'Total E&amp;G-2Yr'!AF8)*100</f>
        <v>6.537530456475495</v>
      </c>
      <c r="U13" s="24">
        <f>IF(((('Investment Income-2Yr'!AF8+'All Other E&amp;G-2Yr'!AF8)/'Total E&amp;G-2Yr'!AF8)*100)&gt;=0.005,(('Investment Income-2Yr'!AF8+'All Other E&amp;G-2Yr'!AF8)/'Total E&amp;G-2Yr'!AF8)*100,"*")</f>
        <v>0.98233890224575016</v>
      </c>
      <c r="V13" s="24"/>
      <c r="W13" s="16">
        <f t="shared" si="1"/>
        <v>100</v>
      </c>
      <c r="X13" s="16">
        <f t="shared" si="2"/>
        <v>100</v>
      </c>
      <c r="Y13" s="1"/>
      <c r="Z13" s="109">
        <f t="shared" si="3"/>
        <v>36.760119200869724</v>
      </c>
      <c r="AA13" s="110">
        <f t="shared" si="14"/>
        <v>37.151377589633171</v>
      </c>
      <c r="AB13" s="109">
        <f t="shared" si="4"/>
        <v>35.345433513662627</v>
      </c>
      <c r="AC13" s="110">
        <f t="shared" si="5"/>
        <v>29.071360361818126</v>
      </c>
      <c r="AD13" s="109">
        <f t="shared" si="6"/>
        <v>100</v>
      </c>
      <c r="AE13" s="110">
        <f t="shared" si="7"/>
        <v>100</v>
      </c>
    </row>
    <row r="14" spans="1:31">
      <c r="A14" s="71" t="s">
        <v>23</v>
      </c>
      <c r="B14" s="71"/>
      <c r="C14" s="77">
        <f>('Tuition-2Yr'!AK9/'Total E&amp;G-2Yr'!AK9)*100</f>
        <v>39.400287206431784</v>
      </c>
      <c r="D14" s="84">
        <f>('State Appropriations-2Yr'!AK9)/('Total E&amp;G-2Yr'!AK9)*100</f>
        <v>39.342993881957199</v>
      </c>
      <c r="E14" s="77">
        <f>IF((('Local Appropriations-2Yr'!AK9/'Total E&amp;G-2Yr'!AK9)*100)=0,(('Local Appropriations-2Yr'!AK9/'Total E&amp;G-2Yr'!AK9)*100),IF((('Local Appropriations-2Yr'!AK9/'Total E&amp;G-2Yr'!AK9)*100)&gt;=0.005,('Local Appropriations-2Yr'!AK9/'Total E&amp;G-2Yr'!AK9)*100,"*"))</f>
        <v>0</v>
      </c>
      <c r="F14" s="84">
        <f>('Fed Contracts Grnts-2Yr'!AK9)/('Total E&amp;G-2Yr'!AK9)*100</f>
        <v>13.292707276943903</v>
      </c>
      <c r="G14" s="77">
        <f>('Other Contracts Grnts-2Yr'!AK9/'Total E&amp;G-2Yr'!AK9)*100</f>
        <v>7.9640116346671066</v>
      </c>
      <c r="H14" s="84">
        <f>('All Other E&amp;G-2Yr'!AK9+'Investment Income-2Yr'!AK9)/('Total E&amp;G-2Yr'!AK9)*100</f>
        <v>0</v>
      </c>
      <c r="I14" s="84">
        <f t="shared" si="8"/>
        <v>4.8020389764899107</v>
      </c>
      <c r="J14" s="84">
        <f t="shared" si="9"/>
        <v>1.0152590772282224</v>
      </c>
      <c r="K14" s="77">
        <f t="shared" si="10"/>
        <v>0</v>
      </c>
      <c r="L14" s="84">
        <f t="shared" si="11"/>
        <v>-3.0135028719829169</v>
      </c>
      <c r="M14" s="77">
        <f t="shared" si="12"/>
        <v>-2.803795181735226</v>
      </c>
      <c r="N14" s="84">
        <f t="shared" si="13"/>
        <v>0</v>
      </c>
      <c r="O14" s="23"/>
      <c r="P14" s="24">
        <f>('Tuition-2Yr'!AF9/'Total E&amp;G-2Yr'!AF9)*100</f>
        <v>34.598248229941873</v>
      </c>
      <c r="Q14" s="25">
        <f>('State Appropriations-2Yr'!AF9/'Total E&amp;G-2Yr'!AF9)*100</f>
        <v>38.327734804728976</v>
      </c>
      <c r="R14" s="26" t="str">
        <f>IF((('Local Appropriations-2Yr'!AF9/'Total E&amp;G-2Yr'!AF9)*100)&gt;=0.005,('Local Appropriations-2Yr'!AF9/'Total E&amp;G-2Yr'!AF9)*100,"*")</f>
        <v>*</v>
      </c>
      <c r="S14" s="24">
        <f>('Fed Contracts Grnts-2Yr'!AF9/'Total E&amp;G-2Yr'!AF9)*100</f>
        <v>16.306210148926819</v>
      </c>
      <c r="T14" s="26">
        <f>('Other Contracts Grnts-2Yr'!AF9/'Total E&amp;G-2Yr'!AF9)*100</f>
        <v>10.767806816402333</v>
      </c>
      <c r="U14" s="24" t="str">
        <f>IF(((('Investment Income-2Yr'!AF9+'All Other E&amp;G-2Yr'!AF9)/'Total E&amp;G-2Yr'!AF9)*100)&gt;=0.005,(('Investment Income-2Yr'!AF9+'All Other E&amp;G-2Yr'!AF9)/'Total E&amp;G-2Yr'!AF9)*100,"*")</f>
        <v>*</v>
      </c>
      <c r="V14" s="24"/>
      <c r="W14" s="16">
        <f t="shared" si="1"/>
        <v>100</v>
      </c>
      <c r="X14" s="16">
        <f t="shared" si="2"/>
        <v>99.999999999999986</v>
      </c>
      <c r="Y14" s="1"/>
      <c r="Z14" s="109">
        <f t="shared" si="3"/>
        <v>38.327734804728976</v>
      </c>
      <c r="AA14" s="110">
        <f t="shared" si="14"/>
        <v>39.342993881957199</v>
      </c>
      <c r="AB14" s="109">
        <f t="shared" si="4"/>
        <v>27.07401696532915</v>
      </c>
      <c r="AC14" s="110">
        <f t="shared" si="5"/>
        <v>21.25671891161101</v>
      </c>
      <c r="AD14" s="109">
        <f t="shared" si="6"/>
        <v>100</v>
      </c>
      <c r="AE14" s="110">
        <f t="shared" si="7"/>
        <v>100</v>
      </c>
    </row>
    <row r="15" spans="1:31">
      <c r="A15" s="71" t="s">
        <v>24</v>
      </c>
      <c r="B15" s="71"/>
      <c r="C15" s="77">
        <f>('Tuition-2Yr'!AK10/'Total E&amp;G-2Yr'!AK10)*100</f>
        <v>38.817759889889579</v>
      </c>
      <c r="D15" s="84">
        <f>('State Appropriations-2Yr'!AK10)/('Total E&amp;G-2Yr'!AK10)*100</f>
        <v>29.259049948741783</v>
      </c>
      <c r="E15" s="77">
        <f>IF((('Local Appropriations-2Yr'!AK10/'Total E&amp;G-2Yr'!AK10)*100)=0,(('Local Appropriations-2Yr'!AK10/'Total E&amp;G-2Yr'!AK10)*100),IF((('Local Appropriations-2Yr'!AK10/'Total E&amp;G-2Yr'!AK10)*100)&gt;=0.005,('Local Appropriations-2Yr'!AK10/'Total E&amp;G-2Yr'!AK10)*100,"*"))</f>
        <v>0</v>
      </c>
      <c r="F15" s="84">
        <f>('Fed Contracts Grnts-2Yr'!AK10)/('Total E&amp;G-2Yr'!AK10)*100</f>
        <v>22.009355118862253</v>
      </c>
      <c r="G15" s="77">
        <f>('Other Contracts Grnts-2Yr'!AK10/'Total E&amp;G-2Yr'!AK10)*100</f>
        <v>6.691349074142126</v>
      </c>
      <c r="H15" s="84">
        <f>('All Other E&amp;G-2Yr'!AK10+'Investment Income-2Yr'!AK10)/('Total E&amp;G-2Yr'!AK10)*100</f>
        <v>3.2224859683642442</v>
      </c>
      <c r="I15" s="84">
        <f t="shared" si="8"/>
        <v>8.0013354568564168</v>
      </c>
      <c r="J15" s="84">
        <f t="shared" si="9"/>
        <v>-2.5476439953510308</v>
      </c>
      <c r="K15" s="77">
        <f t="shared" si="10"/>
        <v>0</v>
      </c>
      <c r="L15" s="84">
        <f t="shared" si="11"/>
        <v>-7.2287103591658095</v>
      </c>
      <c r="M15" s="77">
        <f t="shared" si="12"/>
        <v>0.789728431413522</v>
      </c>
      <c r="N15" s="84">
        <f t="shared" si="13"/>
        <v>0.98529046624687799</v>
      </c>
      <c r="O15" s="23"/>
      <c r="P15" s="24">
        <f>('Tuition-2Yr'!AF10/'Total E&amp;G-2Yr'!AF10)*100</f>
        <v>30.816424433033163</v>
      </c>
      <c r="Q15" s="25">
        <f>('State Appropriations-2Yr'!AF10/'Total E&amp;G-2Yr'!AF10)*100</f>
        <v>31.806693944092814</v>
      </c>
      <c r="R15" s="26" t="str">
        <f>IF((('Local Appropriations-2Yr'!AF10/'Total E&amp;G-2Yr'!AF10)*100)&gt;=0.005,('Local Appropriations-2Yr'!AF10/'Total E&amp;G-2Yr'!AF10)*100,"*")</f>
        <v>*</v>
      </c>
      <c r="S15" s="24">
        <f>('Fed Contracts Grnts-2Yr'!AF10/'Total E&amp;G-2Yr'!AF10)*100</f>
        <v>29.238065478028062</v>
      </c>
      <c r="T15" s="26">
        <f>('Other Contracts Grnts-2Yr'!AF10/'Total E&amp;G-2Yr'!AF10)*100</f>
        <v>5.901620642728604</v>
      </c>
      <c r="U15" s="24">
        <f>IF(((('Investment Income-2Yr'!AF10+'All Other E&amp;G-2Yr'!AF10)/'Total E&amp;G-2Yr'!AF10)*100)&gt;=0.005,(('Investment Income-2Yr'!AF10+'All Other E&amp;G-2Yr'!AF10)/'Total E&amp;G-2Yr'!AF10)*100,"*")</f>
        <v>2.2371955021173662</v>
      </c>
      <c r="V15" s="24"/>
      <c r="W15" s="16">
        <f t="shared" si="1"/>
        <v>100</v>
      </c>
      <c r="X15" s="16">
        <f t="shared" si="2"/>
        <v>99.999999999999986</v>
      </c>
      <c r="Y15" s="1"/>
      <c r="Z15" s="109">
        <f t="shared" si="3"/>
        <v>31.806693944092814</v>
      </c>
      <c r="AA15" s="110">
        <f t="shared" si="14"/>
        <v>29.259049948741783</v>
      </c>
      <c r="AB15" s="109">
        <f t="shared" si="4"/>
        <v>35.139686120756664</v>
      </c>
      <c r="AC15" s="110">
        <f t="shared" si="5"/>
        <v>28.700704193004377</v>
      </c>
      <c r="AD15" s="109">
        <f t="shared" si="6"/>
        <v>100.00000000000001</v>
      </c>
      <c r="AE15" s="110">
        <f t="shared" si="7"/>
        <v>99.999999999999986</v>
      </c>
    </row>
    <row r="16" spans="1:31">
      <c r="A16" s="70" t="s">
        <v>25</v>
      </c>
      <c r="B16" s="70"/>
      <c r="C16" s="76">
        <f>('Tuition-2Yr'!AK11/'Total E&amp;G-2Yr'!AK11)*100</f>
        <v>48.267806665808322</v>
      </c>
      <c r="D16" s="83">
        <f>('State Appropriations-2Yr'!AK11)/('Total E&amp;G-2Yr'!AK11)*100</f>
        <v>21.625671596891685</v>
      </c>
      <c r="E16" s="76">
        <f>IF((('Local Appropriations-2Yr'!AK11/'Total E&amp;G-2Yr'!AK11)*100)=0,(('Local Appropriations-2Yr'!AK11/'Total E&amp;G-2Yr'!AK11)*100),IF((('Local Appropriations-2Yr'!AK11/'Total E&amp;G-2Yr'!AK11)*100)&gt;=0.005,('Local Appropriations-2Yr'!AK11/'Total E&amp;G-2Yr'!AK11)*100,"*"))</f>
        <v>0</v>
      </c>
      <c r="F16" s="83">
        <f>('Fed Contracts Grnts-2Yr'!AK11)/('Total E&amp;G-2Yr'!AK11)*100</f>
        <v>21.092246536852539</v>
      </c>
      <c r="G16" s="76">
        <f>('Other Contracts Grnts-2Yr'!AK11/'Total E&amp;G-2Yr'!AK11)*100</f>
        <v>6.2098246443061109</v>
      </c>
      <c r="H16" s="83">
        <f>('All Other E&amp;G-2Yr'!AK11+'Investment Income-2Yr'!AK11)/('Total E&amp;G-2Yr'!AK11)*100</f>
        <v>2.8044505561413557</v>
      </c>
      <c r="I16" s="83">
        <f t="shared" si="8"/>
        <v>11.207224333764245</v>
      </c>
      <c r="J16" s="83">
        <f t="shared" si="9"/>
        <v>-8.79617688871366</v>
      </c>
      <c r="K16" s="76">
        <f t="shared" si="10"/>
        <v>0</v>
      </c>
      <c r="L16" s="83">
        <f t="shared" si="11"/>
        <v>-8.0339744780928868</v>
      </c>
      <c r="M16" s="76">
        <f t="shared" si="12"/>
        <v>2.7188309925314176</v>
      </c>
      <c r="N16" s="83">
        <f t="shared" si="13"/>
        <v>2.8044505561413557</v>
      </c>
      <c r="O16" s="23"/>
      <c r="P16" s="24">
        <f>('Tuition-2Yr'!AF11/'Total E&amp;G-2Yr'!AF11)*100</f>
        <v>37.060582332044078</v>
      </c>
      <c r="Q16" s="25">
        <f>('State Appropriations-2Yr'!AF11/'Total E&amp;G-2Yr'!AF11)*100</f>
        <v>30.421848485605345</v>
      </c>
      <c r="R16" s="26" t="str">
        <f>IF((('Local Appropriations-2Yr'!AF11/'Total E&amp;G-2Yr'!AF11)*100)&gt;=0.005,('Local Appropriations-2Yr'!AF11/'Total E&amp;G-2Yr'!AF11)*100,"*")</f>
        <v>*</v>
      </c>
      <c r="S16" s="24">
        <f>('Fed Contracts Grnts-2Yr'!AF11/'Total E&amp;G-2Yr'!AF11)*100</f>
        <v>29.126221014945425</v>
      </c>
      <c r="T16" s="26">
        <f>('Other Contracts Grnts-2Yr'!AF11/'Total E&amp;G-2Yr'!AF11)*100</f>
        <v>3.4909936517746933</v>
      </c>
      <c r="U16" s="24" t="str">
        <f>IF(((('Investment Income-2Yr'!AF11+'All Other E&amp;G-2Yr'!AF11)/'Total E&amp;G-2Yr'!AF11)*100)&gt;=0.005,(('Investment Income-2Yr'!AF11+'All Other E&amp;G-2Yr'!AF11)/'Total E&amp;G-2Yr'!AF11)*100,"*")</f>
        <v>*</v>
      </c>
      <c r="V16" s="24"/>
      <c r="W16" s="16">
        <f t="shared" si="1"/>
        <v>100.09964548436955</v>
      </c>
      <c r="X16" s="16">
        <f t="shared" si="2"/>
        <v>100.00000000000001</v>
      </c>
      <c r="Y16" s="1"/>
      <c r="Z16" s="109">
        <f t="shared" si="3"/>
        <v>30.421848485605345</v>
      </c>
      <c r="AA16" s="110">
        <f t="shared" si="14"/>
        <v>21.625671596891685</v>
      </c>
      <c r="AB16" s="109">
        <f t="shared" si="4"/>
        <v>32.617214666720116</v>
      </c>
      <c r="AC16" s="110">
        <f t="shared" si="5"/>
        <v>27.302071181158649</v>
      </c>
      <c r="AD16" s="109">
        <f t="shared" si="6"/>
        <v>100.09964548436955</v>
      </c>
      <c r="AE16" s="110">
        <f t="shared" si="7"/>
        <v>100</v>
      </c>
    </row>
    <row r="17" spans="1:31">
      <c r="A17" s="70" t="s">
        <v>26</v>
      </c>
      <c r="B17" s="70"/>
      <c r="C17" s="76">
        <f>('Tuition-2Yr'!AK12/'Total E&amp;G-2Yr'!AK12)*100</f>
        <v>41.172841476453925</v>
      </c>
      <c r="D17" s="83">
        <f>('State Appropriations-2Yr'!AK12)/('Total E&amp;G-2Yr'!AK12)*100</f>
        <v>23.134913274796546</v>
      </c>
      <c r="E17" s="76">
        <f>IF((('Local Appropriations-2Yr'!AK12/'Total E&amp;G-2Yr'!AK12)*100)=0,(('Local Appropriations-2Yr'!AK12/'Total E&amp;G-2Yr'!AK12)*100),IF((('Local Appropriations-2Yr'!AK12/'Total E&amp;G-2Yr'!AK12)*100)&gt;=0.005,('Local Appropriations-2Yr'!AK12/'Total E&amp;G-2Yr'!AK12)*100,"*"))</f>
        <v>0</v>
      </c>
      <c r="F17" s="83">
        <f>('Fed Contracts Grnts-2Yr'!AK12)/('Total E&amp;G-2Yr'!AK12)*100</f>
        <v>25.200758070560976</v>
      </c>
      <c r="G17" s="76">
        <f>('Other Contracts Grnts-2Yr'!AK12/'Total E&amp;G-2Yr'!AK12)*100</f>
        <v>8.4787018218800707</v>
      </c>
      <c r="H17" s="83">
        <f>('All Other E&amp;G-2Yr'!AK12+'Investment Income-2Yr'!AK12)/('Total E&amp;G-2Yr'!AK12)*100</f>
        <v>2.012785356308477</v>
      </c>
      <c r="I17" s="83">
        <f t="shared" si="8"/>
        <v>5.3949896358448797</v>
      </c>
      <c r="J17" s="83">
        <f t="shared" si="9"/>
        <v>3.5890624568581586</v>
      </c>
      <c r="K17" s="148">
        <f t="shared" si="10"/>
        <v>-6.5532217584586289E-3</v>
      </c>
      <c r="L17" s="83">
        <f t="shared" si="11"/>
        <v>-8.4620016526516757</v>
      </c>
      <c r="M17" s="76">
        <f t="shared" si="12"/>
        <v>1.0766079758489591</v>
      </c>
      <c r="N17" s="83">
        <f t="shared" si="13"/>
        <v>-1.5921051941418667</v>
      </c>
      <c r="O17" s="23"/>
      <c r="P17" s="24">
        <f>('Tuition-2Yr'!AF12/'Total E&amp;G-2Yr'!AF12)*100</f>
        <v>35.777851840609046</v>
      </c>
      <c r="Q17" s="25">
        <f>('State Appropriations-2Yr'!AF12/'Total E&amp;G-2Yr'!AF12)*100</f>
        <v>19.545850817938387</v>
      </c>
      <c r="R17" s="26">
        <f>IF((('Local Appropriations-2Yr'!AF12/'Total E&amp;G-2Yr'!AF12)*100)&gt;=0.005,('Local Appropriations-2Yr'!AF12/'Total E&amp;G-2Yr'!AF12)*100,"*")</f>
        <v>6.5532217584586289E-3</v>
      </c>
      <c r="S17" s="24">
        <f>('Fed Contracts Grnts-2Yr'!AF12/'Total E&amp;G-2Yr'!AF12)*100</f>
        <v>33.662759723212652</v>
      </c>
      <c r="T17" s="26">
        <f>('Other Contracts Grnts-2Yr'!AF12/'Total E&amp;G-2Yr'!AF12)*100</f>
        <v>7.4020938460311116</v>
      </c>
      <c r="U17" s="24">
        <f>IF(((('Investment Income-2Yr'!AF12+'All Other E&amp;G-2Yr'!AF12)/'Total E&amp;G-2Yr'!AF12)*100)&gt;=0.005,(('Investment Income-2Yr'!AF12+'All Other E&amp;G-2Yr'!AF12)/'Total E&amp;G-2Yr'!AF12)*100,"*")</f>
        <v>3.6048905504503437</v>
      </c>
      <c r="V17" s="45"/>
      <c r="W17" s="16">
        <f t="shared" si="1"/>
        <v>100</v>
      </c>
      <c r="X17" s="16">
        <f t="shared" si="2"/>
        <v>100</v>
      </c>
      <c r="Y17" s="1"/>
      <c r="Z17" s="109">
        <f t="shared" si="3"/>
        <v>19.552404039696846</v>
      </c>
      <c r="AA17" s="110">
        <f t="shared" si="14"/>
        <v>23.134913274796546</v>
      </c>
      <c r="AB17" s="109">
        <f t="shared" si="4"/>
        <v>41.064853569243766</v>
      </c>
      <c r="AC17" s="110">
        <f t="shared" si="5"/>
        <v>33.679459892441045</v>
      </c>
      <c r="AD17" s="109">
        <f t="shared" si="6"/>
        <v>100</v>
      </c>
      <c r="AE17" s="110">
        <f t="shared" si="7"/>
        <v>100</v>
      </c>
    </row>
    <row r="18" spans="1:31">
      <c r="A18" s="70" t="s">
        <v>27</v>
      </c>
      <c r="B18" s="70"/>
      <c r="C18" s="76">
        <f>('Tuition-2Yr'!AK13/'Total E&amp;G-2Yr'!AK13)*100</f>
        <v>46.283994748565568</v>
      </c>
      <c r="D18" s="83">
        <f>('State Appropriations-2Yr'!AK13)/('Total E&amp;G-2Yr'!AK13)*100</f>
        <v>17.844450695754237</v>
      </c>
      <c r="E18" s="76">
        <f>IF((('Local Appropriations-2Yr'!AK13/'Total E&amp;G-2Yr'!AK13)*100)=0,(('Local Appropriations-2Yr'!AK13/'Total E&amp;G-2Yr'!AK13)*100),IF((('Local Appropriations-2Yr'!AK13/'Total E&amp;G-2Yr'!AK13)*100)&gt;=0.005,('Local Appropriations-2Yr'!AK13/'Total E&amp;G-2Yr'!AK13)*100,"*"))</f>
        <v>0</v>
      </c>
      <c r="F18" s="83">
        <f>('Fed Contracts Grnts-2Yr'!AK13)/('Total E&amp;G-2Yr'!AK13)*100</f>
        <v>30.493738400606208</v>
      </c>
      <c r="G18" s="76">
        <f>('Other Contracts Grnts-2Yr'!AK13/'Total E&amp;G-2Yr'!AK13)*100</f>
        <v>2.9396848353949445</v>
      </c>
      <c r="H18" s="83">
        <f>('All Other E&amp;G-2Yr'!AK13+'Investment Income-2Yr'!AK13)/('Total E&amp;G-2Yr'!AK13)*100</f>
        <v>2.4381313196790444</v>
      </c>
      <c r="I18" s="83">
        <f t="shared" si="8"/>
        <v>8.7912053460661284</v>
      </c>
      <c r="J18" s="83">
        <f t="shared" si="9"/>
        <v>-2.7455495151357674</v>
      </c>
      <c r="K18" s="76">
        <f t="shared" si="10"/>
        <v>0</v>
      </c>
      <c r="L18" s="83">
        <f t="shared" si="11"/>
        <v>-5.0426219626141737</v>
      </c>
      <c r="M18" s="76">
        <f t="shared" si="12"/>
        <v>-0.19449508666042048</v>
      </c>
      <c r="N18" s="83">
        <f t="shared" si="13"/>
        <v>-0.80853878165576987</v>
      </c>
      <c r="O18" s="23"/>
      <c r="P18" s="24">
        <f>('Tuition-2Yr'!AF13/'Total E&amp;G-2Yr'!AF13)*100</f>
        <v>37.49278940249944</v>
      </c>
      <c r="Q18" s="25">
        <f>('State Appropriations-2Yr'!AF13/'Total E&amp;G-2Yr'!AF13)*100</f>
        <v>20.590000210890004</v>
      </c>
      <c r="R18" s="26" t="str">
        <f>IF((('Local Appropriations-2Yr'!AF13/'Total E&amp;G-2Yr'!AF13)*100)&gt;=0.005,('Local Appropriations-2Yr'!AF13/'Total E&amp;G-2Yr'!AF13)*100,"*")</f>
        <v>*</v>
      </c>
      <c r="S18" s="24">
        <f>('Fed Contracts Grnts-2Yr'!AF13/'Total E&amp;G-2Yr'!AF13)*100</f>
        <v>35.536360363220382</v>
      </c>
      <c r="T18" s="26">
        <f>('Other Contracts Grnts-2Yr'!AF13/'Total E&amp;G-2Yr'!AF13)*100</f>
        <v>3.134179922055365</v>
      </c>
      <c r="U18" s="24">
        <f>IF(((('Investment Income-2Yr'!AF13+'All Other E&amp;G-2Yr'!AF13)/'Total E&amp;G-2Yr'!AF13)*100)&gt;=0.005,(('Investment Income-2Yr'!AF13+'All Other E&amp;G-2Yr'!AF13)/'Total E&amp;G-2Yr'!AF13)*100,"*")</f>
        <v>3.2466701013348143</v>
      </c>
      <c r="V18" s="45"/>
      <c r="W18" s="16">
        <f t="shared" si="1"/>
        <v>100.00000000000001</v>
      </c>
      <c r="X18" s="16">
        <f t="shared" si="2"/>
        <v>100</v>
      </c>
      <c r="Y18" s="1"/>
      <c r="Z18" s="109">
        <f t="shared" si="3"/>
        <v>20.590000210890004</v>
      </c>
      <c r="AA18" s="110">
        <f t="shared" si="14"/>
        <v>17.844450695754237</v>
      </c>
      <c r="AB18" s="109">
        <f t="shared" si="4"/>
        <v>38.670540285275749</v>
      </c>
      <c r="AC18" s="110">
        <f t="shared" si="5"/>
        <v>33.433423236001154</v>
      </c>
      <c r="AD18" s="109">
        <f t="shared" si="6"/>
        <v>100</v>
      </c>
      <c r="AE18" s="110">
        <f t="shared" si="7"/>
        <v>100</v>
      </c>
    </row>
    <row r="19" spans="1:31">
      <c r="A19" s="70" t="s">
        <v>28</v>
      </c>
      <c r="B19" s="70"/>
      <c r="C19" s="76">
        <f>('Tuition-2Yr'!AK14/'Total E&amp;G-2Yr'!AK14)*100</f>
        <v>32.661377382843419</v>
      </c>
      <c r="D19" s="83">
        <f>('State Appropriations-2Yr'!AK14)/('Total E&amp;G-2Yr'!AK14)*100</f>
        <v>20.573693249381726</v>
      </c>
      <c r="E19" s="76">
        <f>IF((('Local Appropriations-2Yr'!AK14/'Total E&amp;G-2Yr'!AK14)*100)=0,(('Local Appropriations-2Yr'!AK14/'Total E&amp;G-2Yr'!AK14)*100),IF((('Local Appropriations-2Yr'!AK14/'Total E&amp;G-2Yr'!AK14)*100)&gt;=0.005,('Local Appropriations-2Yr'!AK14/'Total E&amp;G-2Yr'!AK14)*100,"*"))</f>
        <v>28.290726837260411</v>
      </c>
      <c r="F19" s="83">
        <f>('Fed Contracts Grnts-2Yr'!AK14)/('Total E&amp;G-2Yr'!AK14)*100</f>
        <v>11.596434490894367</v>
      </c>
      <c r="G19" s="76">
        <f>('Other Contracts Grnts-2Yr'!AK14/'Total E&amp;G-2Yr'!AK14)*100</f>
        <v>2.9289527550200369</v>
      </c>
      <c r="H19" s="83">
        <f>('All Other E&amp;G-2Yr'!AK14+'Investment Income-2Yr'!AK14)/('Total E&amp;G-2Yr'!AK14)*100</f>
        <v>3.9488152846000553</v>
      </c>
      <c r="I19" s="83">
        <f t="shared" si="8"/>
        <v>0.19010776240546789</v>
      </c>
      <c r="J19" s="83">
        <f t="shared" si="9"/>
        <v>0.52013594422503573</v>
      </c>
      <c r="K19" s="76">
        <f t="shared" si="10"/>
        <v>4.7536872922074451</v>
      </c>
      <c r="L19" s="83">
        <f t="shared" si="11"/>
        <v>-4.9616180023978593</v>
      </c>
      <c r="M19" s="76">
        <f t="shared" si="12"/>
        <v>-0.60264204695108425</v>
      </c>
      <c r="N19" s="83">
        <f t="shared" si="13"/>
        <v>0.10032905051099661</v>
      </c>
      <c r="O19" s="23"/>
      <c r="P19" s="24">
        <f>('Tuition-2Yr'!AF14/'Total E&amp;G-2Yr'!AF14)*100</f>
        <v>32.471269620437951</v>
      </c>
      <c r="Q19" s="25">
        <f>('State Appropriations-2Yr'!AF14/'Total E&amp;G-2Yr'!AF14)*100</f>
        <v>20.053557305156691</v>
      </c>
      <c r="R19" s="26">
        <f>IF((('Local Appropriations-2Yr'!AF14/'Total E&amp;G-2Yr'!AF14)*100)&gt;=0.005,('Local Appropriations-2Yr'!AF14/'Total E&amp;G-2Yr'!AF14)*100,"*")</f>
        <v>23.537039545052966</v>
      </c>
      <c r="S19" s="24">
        <f>('Fed Contracts Grnts-2Yr'!AF14/'Total E&amp;G-2Yr'!AF14)*100</f>
        <v>16.558052493292227</v>
      </c>
      <c r="T19" s="26">
        <f>('Other Contracts Grnts-2Yr'!AF14/'Total E&amp;G-2Yr'!AF14)*100</f>
        <v>3.5315948019711212</v>
      </c>
      <c r="U19" s="24">
        <f>IF(((('Investment Income-2Yr'!AF14+'All Other E&amp;G-2Yr'!AF14)/'Total E&amp;G-2Yr'!AF14)*100)&gt;=0.005,(('Investment Income-2Yr'!AF14+'All Other E&amp;G-2Yr'!AF14)/'Total E&amp;G-2Yr'!AF14)*100,"*")</f>
        <v>3.8484862340890587</v>
      </c>
      <c r="V19" s="45"/>
      <c r="W19" s="16">
        <f t="shared" si="1"/>
        <v>100</v>
      </c>
      <c r="X19" s="16">
        <f t="shared" si="2"/>
        <v>100.00000000000001</v>
      </c>
      <c r="Y19" s="1"/>
      <c r="Z19" s="109">
        <f t="shared" si="3"/>
        <v>43.590596850209657</v>
      </c>
      <c r="AA19" s="110">
        <f t="shared" si="14"/>
        <v>48.864420086642141</v>
      </c>
      <c r="AB19" s="109">
        <f t="shared" si="4"/>
        <v>20.089647295263347</v>
      </c>
      <c r="AC19" s="110">
        <f t="shared" si="5"/>
        <v>14.525387245914404</v>
      </c>
      <c r="AD19" s="109">
        <f t="shared" si="6"/>
        <v>100.00000000000001</v>
      </c>
      <c r="AE19" s="110">
        <f t="shared" si="7"/>
        <v>100.00000000000003</v>
      </c>
    </row>
    <row r="20" spans="1:31">
      <c r="A20" s="71" t="s">
        <v>29</v>
      </c>
      <c r="B20" s="71"/>
      <c r="C20" s="77">
        <f>('Tuition-2Yr'!AK15/'Total E&amp;G-2Yr'!AK15)*100</f>
        <v>35.204753770348219</v>
      </c>
      <c r="D20" s="84">
        <f>('State Appropriations-2Yr'!AK15)/('Total E&amp;G-2Yr'!AK15)*100</f>
        <v>22.934769061711769</v>
      </c>
      <c r="E20" s="77">
        <f>IF((('Local Appropriations-2Yr'!AK15/'Total E&amp;G-2Yr'!AK15)*100)=0,(('Local Appropriations-2Yr'!AK15/'Total E&amp;G-2Yr'!AK15)*100),IF((('Local Appropriations-2Yr'!AK15/'Total E&amp;G-2Yr'!AK15)*100)&gt;=0.005,('Local Appropriations-2Yr'!AK15/'Total E&amp;G-2Yr'!AK15)*100,"*"))</f>
        <v>7.5730188313290832</v>
      </c>
      <c r="F20" s="84">
        <f>('Fed Contracts Grnts-2Yr'!AK15)/('Total E&amp;G-2Yr'!AK15)*100</f>
        <v>22.992161083658381</v>
      </c>
      <c r="G20" s="77">
        <f>('Other Contracts Grnts-2Yr'!AK15/'Total E&amp;G-2Yr'!AK15)*100</f>
        <v>9.0057294870436611</v>
      </c>
      <c r="H20" s="84">
        <f>('All Other E&amp;G-2Yr'!AK15+'Investment Income-2Yr'!AK15)/('Total E&amp;G-2Yr'!AK15)*100</f>
        <v>2.2895677659089082</v>
      </c>
      <c r="I20" s="84">
        <f t="shared" si="8"/>
        <v>12.445142173215956</v>
      </c>
      <c r="J20" s="84">
        <f t="shared" si="9"/>
        <v>-5.5979568888552258</v>
      </c>
      <c r="K20" s="77">
        <f t="shared" si="10"/>
        <v>-0.23737459317079512</v>
      </c>
      <c r="L20" s="84">
        <f t="shared" si="11"/>
        <v>-8.8072882323988786</v>
      </c>
      <c r="M20" s="77">
        <f t="shared" si="12"/>
        <v>1.1361691005754739</v>
      </c>
      <c r="N20" s="84">
        <f t="shared" si="13"/>
        <v>1.0613084406335047</v>
      </c>
      <c r="O20" s="23"/>
      <c r="P20" s="24">
        <f>('Tuition-2Yr'!AF15/'Total E&amp;G-2Yr'!AF15)*100</f>
        <v>22.759611597132263</v>
      </c>
      <c r="Q20" s="25">
        <f>('State Appropriations-2Yr'!AF15/'Total E&amp;G-2Yr'!AF15)*100</f>
        <v>28.532725950566995</v>
      </c>
      <c r="R20" s="26">
        <f>IF((('Local Appropriations-2Yr'!AF15/'Total E&amp;G-2Yr'!AF15)*100)&gt;=0.005,('Local Appropriations-2Yr'!AF15/'Total E&amp;G-2Yr'!AF15)*100,"*")</f>
        <v>7.8103934244998783</v>
      </c>
      <c r="S20" s="24">
        <f>('Fed Contracts Grnts-2Yr'!AF15/'Total E&amp;G-2Yr'!AF15)*100</f>
        <v>31.79944931605726</v>
      </c>
      <c r="T20" s="26">
        <f>('Other Contracts Grnts-2Yr'!AF15/'Total E&amp;G-2Yr'!AF15)*100</f>
        <v>7.8695603864681871</v>
      </c>
      <c r="U20" s="24">
        <f>IF(((('Investment Income-2Yr'!AF15+'All Other E&amp;G-2Yr'!AF15)/'Total E&amp;G-2Yr'!AF15)*100)&gt;=0.005,(('Investment Income-2Yr'!AF15+'All Other E&amp;G-2Yr'!AF15)/'Total E&amp;G-2Yr'!AF15)*100,"*")</f>
        <v>1.2282593252754035</v>
      </c>
      <c r="V20" s="45"/>
      <c r="W20" s="16">
        <f t="shared" si="1"/>
        <v>99.999999999999986</v>
      </c>
      <c r="X20" s="16">
        <f t="shared" si="2"/>
        <v>100.00000000000004</v>
      </c>
      <c r="Y20" s="1"/>
      <c r="Z20" s="109">
        <f t="shared" si="3"/>
        <v>36.343119375066877</v>
      </c>
      <c r="AA20" s="110">
        <f t="shared" si="14"/>
        <v>30.507787893040852</v>
      </c>
      <c r="AB20" s="109">
        <f t="shared" si="4"/>
        <v>39.669009702525443</v>
      </c>
      <c r="AC20" s="110">
        <f t="shared" si="5"/>
        <v>31.99789057070204</v>
      </c>
      <c r="AD20" s="109">
        <f t="shared" si="6"/>
        <v>99.999999999999986</v>
      </c>
      <c r="AE20" s="110">
        <f t="shared" si="7"/>
        <v>100.00000000000003</v>
      </c>
    </row>
    <row r="21" spans="1:31">
      <c r="A21" s="71" t="s">
        <v>30</v>
      </c>
      <c r="B21" s="71"/>
      <c r="C21" s="77">
        <f>('Tuition-2Yr'!AK16/'Total E&amp;G-2Yr'!AK16)*100</f>
        <v>25.398828189370953</v>
      </c>
      <c r="D21" s="84">
        <f>('State Appropriations-2Yr'!AK16)/('Total E&amp;G-2Yr'!AK16)*100</f>
        <v>43.123560391420561</v>
      </c>
      <c r="E21" s="77">
        <f>IF((('Local Appropriations-2Yr'!AK16/'Total E&amp;G-2Yr'!AK16)*100)=0,(('Local Appropriations-2Yr'!AK16/'Total E&amp;G-2Yr'!AK16)*100),IF((('Local Appropriations-2Yr'!AK16/'Total E&amp;G-2Yr'!AK16)*100)&gt;=0.005,('Local Appropriations-2Yr'!AK16/'Total E&amp;G-2Yr'!AK16)*100,"*"))</f>
        <v>10.627216753407321</v>
      </c>
      <c r="F21" s="84">
        <f>('Fed Contracts Grnts-2Yr'!AK16)/('Total E&amp;G-2Yr'!AK16)*100</f>
        <v>16.180055671245494</v>
      </c>
      <c r="G21" s="77">
        <f>('Other Contracts Grnts-2Yr'!AK16/'Total E&amp;G-2Yr'!AK16)*100</f>
        <v>2.9242417919674142</v>
      </c>
      <c r="H21" s="84">
        <f>('All Other E&amp;G-2Yr'!AK16+'Investment Income-2Yr'!AK16)/('Total E&amp;G-2Yr'!AK16)*100</f>
        <v>1.746097202588242</v>
      </c>
      <c r="I21" s="84">
        <f t="shared" si="8"/>
        <v>6.5603703084044156</v>
      </c>
      <c r="J21" s="84">
        <f t="shared" si="9"/>
        <v>1.6677448257965608</v>
      </c>
      <c r="K21" s="77">
        <f t="shared" si="10"/>
        <v>0.8401076064128894</v>
      </c>
      <c r="L21" s="84">
        <f t="shared" si="11"/>
        <v>-8.7795627337784374</v>
      </c>
      <c r="M21" s="77">
        <f t="shared" si="12"/>
        <v>-0.52302946510567461</v>
      </c>
      <c r="N21" s="84">
        <f t="shared" si="13"/>
        <v>0.23436945827024225</v>
      </c>
      <c r="O21" s="23"/>
      <c r="P21" s="24">
        <f>('Tuition-2Yr'!AF16/'Total E&amp;G-2Yr'!AF16)*100</f>
        <v>18.838457880966537</v>
      </c>
      <c r="Q21" s="25">
        <f>('State Appropriations-2Yr'!AF16/'Total E&amp;G-2Yr'!AF16)*100</f>
        <v>41.455815565624</v>
      </c>
      <c r="R21" s="26">
        <f>IF((('Local Appropriations-2Yr'!AF16/'Total E&amp;G-2Yr'!AF16)*100)&gt;=0.005,('Local Appropriations-2Yr'!AF16/'Total E&amp;G-2Yr'!AF16)*100,"*")</f>
        <v>9.7871091469944318</v>
      </c>
      <c r="S21" s="24">
        <f>('Fed Contracts Grnts-2Yr'!AF16/'Total E&amp;G-2Yr'!AF16)*100</f>
        <v>24.959618405023932</v>
      </c>
      <c r="T21" s="26">
        <f>('Other Contracts Grnts-2Yr'!AF16/'Total E&amp;G-2Yr'!AF16)*100</f>
        <v>3.4472712570730888</v>
      </c>
      <c r="U21" s="24">
        <f>IF(((('Investment Income-2Yr'!AF16+'All Other E&amp;G-2Yr'!AF16)/'Total E&amp;G-2Yr'!AF16)*100)&gt;=0.005,(('Investment Income-2Yr'!AF16+'All Other E&amp;G-2Yr'!AF16)/'Total E&amp;G-2Yr'!AF16)*100,"*")</f>
        <v>1.5117277443179997</v>
      </c>
      <c r="V21" s="24"/>
      <c r="W21" s="16">
        <f t="shared" si="1"/>
        <v>99.999999999999986</v>
      </c>
      <c r="X21" s="16">
        <f t="shared" si="2"/>
        <v>100</v>
      </c>
      <c r="Y21" s="1"/>
      <c r="Z21" s="109">
        <f t="shared" si="3"/>
        <v>51.242924712618432</v>
      </c>
      <c r="AA21" s="110">
        <f t="shared" si="14"/>
        <v>53.750777144827879</v>
      </c>
      <c r="AB21" s="109">
        <f t="shared" si="4"/>
        <v>28.406889662097022</v>
      </c>
      <c r="AC21" s="110">
        <f t="shared" si="5"/>
        <v>19.104297463212909</v>
      </c>
      <c r="AD21" s="109">
        <f t="shared" si="6"/>
        <v>99.999999999999972</v>
      </c>
      <c r="AE21" s="110">
        <f t="shared" si="7"/>
        <v>99.999999999999972</v>
      </c>
    </row>
    <row r="22" spans="1:31">
      <c r="A22" s="71" t="s">
        <v>31</v>
      </c>
      <c r="B22" s="71"/>
      <c r="C22" s="77">
        <f>('Tuition-2Yr'!AK17/'Total E&amp;G-2Yr'!AK17)*100</f>
        <v>36.749651699597905</v>
      </c>
      <c r="D22" s="84">
        <f>('State Appropriations-2Yr'!AK17)/('Total E&amp;G-2Yr'!AK17)*100</f>
        <v>20.608431645613699</v>
      </c>
      <c r="E22" s="77">
        <f>IF((('Local Appropriations-2Yr'!AK17/'Total E&amp;G-2Yr'!AK17)*100)=0,(('Local Appropriations-2Yr'!AK17/'Total E&amp;G-2Yr'!AK17)*100),IF((('Local Appropriations-2Yr'!AK17/'Total E&amp;G-2Yr'!AK17)*100)&gt;=0.005,('Local Appropriations-2Yr'!AK17/'Total E&amp;G-2Yr'!AK17)*100,"*"))</f>
        <v>9.3498061827688161</v>
      </c>
      <c r="F22" s="84">
        <f>('Fed Contracts Grnts-2Yr'!AK17)/('Total E&amp;G-2Yr'!AK17)*100</f>
        <v>23.508495402297473</v>
      </c>
      <c r="G22" s="77">
        <f>('Other Contracts Grnts-2Yr'!AK17/'Total E&amp;G-2Yr'!AK17)*100</f>
        <v>5.1217834993174076</v>
      </c>
      <c r="H22" s="84">
        <f>('All Other E&amp;G-2Yr'!AK17+'Investment Income-2Yr'!AK17)/('Total E&amp;G-2Yr'!AK17)*100</f>
        <v>4.6618315704047095</v>
      </c>
      <c r="I22" s="84">
        <f t="shared" si="8"/>
        <v>11.954688795292054</v>
      </c>
      <c r="J22" s="84">
        <f t="shared" si="9"/>
        <v>-9.9995229931786227</v>
      </c>
      <c r="K22" s="77">
        <f t="shared" si="10"/>
        <v>0.30443261507486419</v>
      </c>
      <c r="L22" s="84">
        <f t="shared" si="11"/>
        <v>-1.240089635311719</v>
      </c>
      <c r="M22" s="77">
        <f t="shared" si="12"/>
        <v>6.8734336994018541E-2</v>
      </c>
      <c r="N22" s="84">
        <f t="shared" si="13"/>
        <v>-1.0882431188705981</v>
      </c>
      <c r="O22" s="23"/>
      <c r="P22" s="24">
        <f>('Tuition-2Yr'!AF17/'Total E&amp;G-2Yr'!AF17)*100</f>
        <v>24.794962904305851</v>
      </c>
      <c r="Q22" s="25">
        <f>('State Appropriations-2Yr'!AF17/'Total E&amp;G-2Yr'!AF17)*100</f>
        <v>30.607954638792322</v>
      </c>
      <c r="R22" s="26">
        <f>IF((('Local Appropriations-2Yr'!AF17/'Total E&amp;G-2Yr'!AF17)*100)&gt;=0.005,('Local Appropriations-2Yr'!AF17/'Total E&amp;G-2Yr'!AF17)*100,"*")</f>
        <v>9.045373567693952</v>
      </c>
      <c r="S22" s="24">
        <f>('Fed Contracts Grnts-2Yr'!AF17/'Total E&amp;G-2Yr'!AF17)*100</f>
        <v>24.748585037609192</v>
      </c>
      <c r="T22" s="26">
        <f>('Other Contracts Grnts-2Yr'!AF17/'Total E&amp;G-2Yr'!AF17)*100</f>
        <v>5.0530491623233891</v>
      </c>
      <c r="U22" s="24">
        <f>IF(((('Investment Income-2Yr'!AF17+'All Other E&amp;G-2Yr'!AF17)/'Total E&amp;G-2Yr'!AF17)*100)&gt;=0.005,(('Investment Income-2Yr'!AF17+'All Other E&amp;G-2Yr'!AF17)/'Total E&amp;G-2Yr'!AF17)*100,"*")</f>
        <v>5.7500746892753076</v>
      </c>
      <c r="V22" s="24"/>
      <c r="W22" s="16">
        <f t="shared" si="1"/>
        <v>100.00000000000001</v>
      </c>
      <c r="X22" s="16">
        <f t="shared" si="2"/>
        <v>100.00000000000001</v>
      </c>
      <c r="Y22" s="1"/>
      <c r="Z22" s="109">
        <f t="shared" si="3"/>
        <v>39.653328206486272</v>
      </c>
      <c r="AA22" s="110">
        <f t="shared" si="14"/>
        <v>29.958237828382515</v>
      </c>
      <c r="AB22" s="109">
        <f t="shared" si="4"/>
        <v>29.801634199932582</v>
      </c>
      <c r="AC22" s="110">
        <f t="shared" si="5"/>
        <v>28.630278901614879</v>
      </c>
      <c r="AD22" s="109">
        <f t="shared" si="6"/>
        <v>100.00000000000001</v>
      </c>
      <c r="AE22" s="110">
        <f t="shared" si="7"/>
        <v>100</v>
      </c>
    </row>
    <row r="23" spans="1:31">
      <c r="A23" s="71" t="s">
        <v>32</v>
      </c>
      <c r="B23" s="71"/>
      <c r="C23" s="77">
        <f>('Tuition-2Yr'!AK18/'Total E&amp;G-2Yr'!AK18)*100</f>
        <v>45.720783704152865</v>
      </c>
      <c r="D23" s="84">
        <f>('State Appropriations-2Yr'!AK18)/('Total E&amp;G-2Yr'!AK18)*100</f>
        <v>15.013129177758664</v>
      </c>
      <c r="E23" s="77">
        <f>IF((('Local Appropriations-2Yr'!AK18/'Total E&amp;G-2Yr'!AK18)*100)=0,(('Local Appropriations-2Yr'!AK18/'Total E&amp;G-2Yr'!AK18)*100),IF((('Local Appropriations-2Yr'!AK18/'Total E&amp;G-2Yr'!AK18)*100)&gt;=0.005,('Local Appropriations-2Yr'!AK18/'Total E&amp;G-2Yr'!AK18)*100,"*"))</f>
        <v>7.3088438429653637</v>
      </c>
      <c r="F23" s="84">
        <f>('Fed Contracts Grnts-2Yr'!AK18)/('Total E&amp;G-2Yr'!AK18)*100</f>
        <v>17.355485978404133</v>
      </c>
      <c r="G23" s="77">
        <f>('Other Contracts Grnts-2Yr'!AK18/'Total E&amp;G-2Yr'!AK18)*100</f>
        <v>11.686155437544356</v>
      </c>
      <c r="H23" s="84">
        <f>('All Other E&amp;G-2Yr'!AK18+'Investment Income-2Yr'!AK18)/('Total E&amp;G-2Yr'!AK18)*100</f>
        <v>2.9156018591746236</v>
      </c>
      <c r="I23" s="84">
        <f t="shared" si="8"/>
        <v>5.5610450099844755</v>
      </c>
      <c r="J23" s="84">
        <f t="shared" si="9"/>
        <v>3.1801198995407578</v>
      </c>
      <c r="K23" s="77">
        <f t="shared" si="10"/>
        <v>0.82456982794947287</v>
      </c>
      <c r="L23" s="84">
        <f t="shared" si="11"/>
        <v>-11.875283054349612</v>
      </c>
      <c r="M23" s="77">
        <f t="shared" si="12"/>
        <v>1.211233832157891</v>
      </c>
      <c r="N23" s="84">
        <f t="shared" si="13"/>
        <v>1.0983144847170256</v>
      </c>
      <c r="O23" s="23"/>
      <c r="P23" s="24">
        <f>('Tuition-2Yr'!AF18/'Total E&amp;G-2Yr'!AF18)*100</f>
        <v>40.159738694168389</v>
      </c>
      <c r="Q23" s="25">
        <f>('State Appropriations-2Yr'!AF18/'Total E&amp;G-2Yr'!AF18)*100</f>
        <v>11.833009278217906</v>
      </c>
      <c r="R23" s="26">
        <f>IF((('Local Appropriations-2Yr'!AF18/'Total E&amp;G-2Yr'!AF18)*100)&gt;=0.005,('Local Appropriations-2Yr'!AF18/'Total E&amp;G-2Yr'!AF18)*100,"*")</f>
        <v>6.4842740150158908</v>
      </c>
      <c r="S23" s="24">
        <f>('Fed Contracts Grnts-2Yr'!AF18/'Total E&amp;G-2Yr'!AF18)*100</f>
        <v>29.230769032753745</v>
      </c>
      <c r="T23" s="26">
        <f>('Other Contracts Grnts-2Yr'!AF18/'Total E&amp;G-2Yr'!AF18)*100</f>
        <v>10.474921605386465</v>
      </c>
      <c r="U23" s="24">
        <f>IF(((('Investment Income-2Yr'!AF18+'All Other E&amp;G-2Yr'!AF18)/'Total E&amp;G-2Yr'!AF18)*100)&gt;=0.005,(('Investment Income-2Yr'!AF18+'All Other E&amp;G-2Yr'!AF18)/'Total E&amp;G-2Yr'!AF18)*100,"*")</f>
        <v>1.8172873744575979</v>
      </c>
      <c r="V23" s="24"/>
      <c r="W23" s="16">
        <f t="shared" si="1"/>
        <v>100</v>
      </c>
      <c r="X23" s="16">
        <f t="shared" si="2"/>
        <v>100.00000000000001</v>
      </c>
      <c r="Y23" s="1"/>
      <c r="Z23" s="109">
        <f t="shared" si="3"/>
        <v>18.317283293233796</v>
      </c>
      <c r="AA23" s="110">
        <f t="shared" si="14"/>
        <v>22.321973020724027</v>
      </c>
      <c r="AB23" s="109">
        <f t="shared" si="4"/>
        <v>39.705690638140211</v>
      </c>
      <c r="AC23" s="110">
        <f t="shared" si="5"/>
        <v>29.04164141594849</v>
      </c>
      <c r="AD23" s="109">
        <f t="shared" si="6"/>
        <v>100</v>
      </c>
      <c r="AE23" s="110">
        <f t="shared" si="7"/>
        <v>100</v>
      </c>
    </row>
    <row r="24" spans="1:31">
      <c r="A24" s="70" t="s">
        <v>33</v>
      </c>
      <c r="B24" s="70"/>
      <c r="C24" s="76">
        <f>('Tuition-2Yr'!AK19/'Total E&amp;G-2Yr'!AK19)*100</f>
        <v>41.175960245766007</v>
      </c>
      <c r="D24" s="83">
        <f>('State Appropriations-2Yr'!AK19)/('Total E&amp;G-2Yr'!AK19)*100</f>
        <v>27.363431969436341</v>
      </c>
      <c r="E24" s="76">
        <f>IF((('Local Appropriations-2Yr'!AK19/'Total E&amp;G-2Yr'!AK19)*100)=0,(('Local Appropriations-2Yr'!AK19/'Total E&amp;G-2Yr'!AK19)*100),IF((('Local Appropriations-2Yr'!AK19/'Total E&amp;G-2Yr'!AK19)*100)&gt;=0.005,('Local Appropriations-2Yr'!AK19/'Total E&amp;G-2Yr'!AK19)*100,"*"))</f>
        <v>0</v>
      </c>
      <c r="F24" s="83">
        <f>('Fed Contracts Grnts-2Yr'!AK19)/('Total E&amp;G-2Yr'!AK19)*100</f>
        <v>17.714314672868031</v>
      </c>
      <c r="G24" s="76">
        <f>('Other Contracts Grnts-2Yr'!AK19/'Total E&amp;G-2Yr'!AK19)*100</f>
        <v>11.332993879355916</v>
      </c>
      <c r="H24" s="83">
        <f>('All Other E&amp;G-2Yr'!AK19+'Investment Income-2Yr'!AK19)/('Total E&amp;G-2Yr'!AK19)*100</f>
        <v>2.4132992325737099</v>
      </c>
      <c r="I24" s="83">
        <f t="shared" si="8"/>
        <v>4.1217636334582792</v>
      </c>
      <c r="J24" s="83">
        <f t="shared" si="9"/>
        <v>-0.57984023403134799</v>
      </c>
      <c r="K24" s="76">
        <f t="shared" si="10"/>
        <v>0</v>
      </c>
      <c r="L24" s="83">
        <f t="shared" si="11"/>
        <v>-7.751498475277284</v>
      </c>
      <c r="M24" s="76">
        <f t="shared" si="12"/>
        <v>2.8738604785115474</v>
      </c>
      <c r="N24" s="83">
        <f t="shared" si="13"/>
        <v>1.3357145973387912</v>
      </c>
      <c r="O24" s="23"/>
      <c r="P24" s="24">
        <f>('Tuition-2Yr'!AF19/'Total E&amp;G-2Yr'!AF19)*100</f>
        <v>37.054196612307727</v>
      </c>
      <c r="Q24" s="25">
        <f>('State Appropriations-2Yr'!AF19/'Total E&amp;G-2Yr'!AF19)*100</f>
        <v>27.943272203467689</v>
      </c>
      <c r="R24" s="26" t="str">
        <f>IF((('Local Appropriations-2Yr'!AF19/'Total E&amp;G-2Yr'!AF19)*100)&gt;=0.005,('Local Appropriations-2Yr'!AF19/'Total E&amp;G-2Yr'!AF19)*100,"*")</f>
        <v>*</v>
      </c>
      <c r="S24" s="24">
        <f>('Fed Contracts Grnts-2Yr'!AF19/'Total E&amp;G-2Yr'!AF19)*100</f>
        <v>25.465813148145315</v>
      </c>
      <c r="T24" s="26">
        <f>('Other Contracts Grnts-2Yr'!AF19/'Total E&amp;G-2Yr'!AF19)*100</f>
        <v>8.4591334008443688</v>
      </c>
      <c r="U24" s="24">
        <f>IF(((('Investment Income-2Yr'!AF19+'All Other E&amp;G-2Yr'!AF19)/'Total E&amp;G-2Yr'!AF19)*100)&gt;=0.005,(('Investment Income-2Yr'!AF19+'All Other E&amp;G-2Yr'!AF19)/'Total E&amp;G-2Yr'!AF19)*100,"*")</f>
        <v>1.0775846352349188</v>
      </c>
      <c r="V24" s="24"/>
      <c r="W24" s="16">
        <f t="shared" si="1"/>
        <v>100.00000000000001</v>
      </c>
      <c r="X24" s="16">
        <f t="shared" si="2"/>
        <v>100</v>
      </c>
      <c r="Y24" s="1"/>
      <c r="Z24" s="109">
        <f t="shared" si="3"/>
        <v>27.943272203467689</v>
      </c>
      <c r="AA24" s="110">
        <f t="shared" si="14"/>
        <v>27.363431969436341</v>
      </c>
      <c r="AB24" s="109">
        <f t="shared" si="4"/>
        <v>33.924946548989681</v>
      </c>
      <c r="AC24" s="110">
        <f t="shared" si="5"/>
        <v>29.047308552223946</v>
      </c>
      <c r="AD24" s="109">
        <f t="shared" si="6"/>
        <v>100.00000000000001</v>
      </c>
      <c r="AE24" s="110">
        <f t="shared" si="7"/>
        <v>100</v>
      </c>
    </row>
    <row r="25" spans="1:31">
      <c r="A25" s="70" t="s">
        <v>34</v>
      </c>
      <c r="B25" s="70"/>
      <c r="C25" s="76">
        <f>('Tuition-2Yr'!AK20/'Total E&amp;G-2Yr'!AK20)*100</f>
        <v>31.544684329535578</v>
      </c>
      <c r="D25" s="83">
        <f>('State Appropriations-2Yr'!AK20)/('Total E&amp;G-2Yr'!AK20)*100</f>
        <v>18.571964580050864</v>
      </c>
      <c r="E25" s="76">
        <f>IF((('Local Appropriations-2Yr'!AK20/'Total E&amp;G-2Yr'!AK20)*100)=0,(('Local Appropriations-2Yr'!AK20/'Total E&amp;G-2Yr'!AK20)*100),IF((('Local Appropriations-2Yr'!AK20/'Total E&amp;G-2Yr'!AK20)*100)&gt;=0.005,('Local Appropriations-2Yr'!AK20/'Total E&amp;G-2Yr'!AK20)*100,"*"))</f>
        <v>28.535101234933673</v>
      </c>
      <c r="F25" s="83">
        <f>('Fed Contracts Grnts-2Yr'!AK20)/('Total E&amp;G-2Yr'!AK20)*100</f>
        <v>15.599940919580982</v>
      </c>
      <c r="G25" s="76">
        <f>('Other Contracts Grnts-2Yr'!AK20/'Total E&amp;G-2Yr'!AK20)*100</f>
        <v>2.6216266138960775</v>
      </c>
      <c r="H25" s="83">
        <f>('All Other E&amp;G-2Yr'!AK20+'Investment Income-2Yr'!AK20)/('Total E&amp;G-2Yr'!AK20)*100</f>
        <v>3.1266823220028246</v>
      </c>
      <c r="I25" s="83">
        <f t="shared" si="8"/>
        <v>5.4590876710530871</v>
      </c>
      <c r="J25" s="83">
        <f t="shared" si="9"/>
        <v>-2.3763681409194213</v>
      </c>
      <c r="K25" s="76">
        <f t="shared" si="10"/>
        <v>1.3422832583366464</v>
      </c>
      <c r="L25" s="83">
        <f t="shared" si="11"/>
        <v>-5.8762135438925061</v>
      </c>
      <c r="M25" s="76">
        <f t="shared" si="12"/>
        <v>-0.37142129309126393</v>
      </c>
      <c r="N25" s="83">
        <f t="shared" si="13"/>
        <v>1.8226320485134555</v>
      </c>
      <c r="O25" s="23"/>
      <c r="P25" s="24">
        <f>('Tuition-2Yr'!AF20/'Total E&amp;G-2Yr'!AF20)*100</f>
        <v>26.085596658482491</v>
      </c>
      <c r="Q25" s="25">
        <f>('State Appropriations-2Yr'!AF20/'Total E&amp;G-2Yr'!AF20)*100</f>
        <v>20.948332720970285</v>
      </c>
      <c r="R25" s="26">
        <f>IF((('Local Appropriations-2Yr'!AF20/'Total E&amp;G-2Yr'!AF20)*100)&gt;=0.005,('Local Appropriations-2Yr'!AF20/'Total E&amp;G-2Yr'!AF20)*100,"*")</f>
        <v>27.192817976597027</v>
      </c>
      <c r="S25" s="24">
        <f>('Fed Contracts Grnts-2Yr'!AF20/'Total E&amp;G-2Yr'!AF20)*100</f>
        <v>21.476154463473488</v>
      </c>
      <c r="T25" s="26">
        <f>('Other Contracts Grnts-2Yr'!AF20/'Total E&amp;G-2Yr'!AF20)*100</f>
        <v>2.9930479069873415</v>
      </c>
      <c r="U25" s="24">
        <f>IF(((('Investment Income-2Yr'!AF20+'All Other E&amp;G-2Yr'!AF20)/'Total E&amp;G-2Yr'!AF20)*100)&gt;=0.005,(('Investment Income-2Yr'!AF20+'All Other E&amp;G-2Yr'!AF20)/'Total E&amp;G-2Yr'!AF20)*100,"*")</f>
        <v>1.3040502734893691</v>
      </c>
      <c r="V25" s="45"/>
      <c r="W25" s="16">
        <f t="shared" si="1"/>
        <v>100</v>
      </c>
      <c r="X25" s="16">
        <f t="shared" si="2"/>
        <v>100.00000000000001</v>
      </c>
      <c r="Y25" s="1"/>
      <c r="Z25" s="109">
        <f t="shared" si="3"/>
        <v>48.141150697567312</v>
      </c>
      <c r="AA25" s="110">
        <f t="shared" si="14"/>
        <v>47.107065814984537</v>
      </c>
      <c r="AB25" s="109">
        <f t="shared" si="4"/>
        <v>24.469202370460831</v>
      </c>
      <c r="AC25" s="110">
        <f t="shared" si="5"/>
        <v>18.22156753347706</v>
      </c>
      <c r="AD25" s="109">
        <f t="shared" si="6"/>
        <v>100</v>
      </c>
      <c r="AE25" s="110">
        <f t="shared" si="7"/>
        <v>100</v>
      </c>
    </row>
    <row r="26" spans="1:31">
      <c r="A26" s="70" t="s">
        <v>35</v>
      </c>
      <c r="B26" s="70"/>
      <c r="C26" s="76">
        <f>('Tuition-2Yr'!AK21/'Total E&amp;G-2Yr'!AK21)*100</f>
        <v>46.570942475037668</v>
      </c>
      <c r="D26" s="83">
        <f>('State Appropriations-2Yr'!AK21)/('Total E&amp;G-2Yr'!AK21)*100</f>
        <v>30.978356408916515</v>
      </c>
      <c r="E26" s="76">
        <f>IF((('Local Appropriations-2Yr'!AK21/'Total E&amp;G-2Yr'!AK21)*100)=0,(('Local Appropriations-2Yr'!AK21/'Total E&amp;G-2Yr'!AK21)*100),IF((('Local Appropriations-2Yr'!AK21/'Total E&amp;G-2Yr'!AK21)*100)&gt;=0.005,('Local Appropriations-2Yr'!AK21/'Total E&amp;G-2Yr'!AK21)*100,"*"))</f>
        <v>0.20908203657860744</v>
      </c>
      <c r="F26" s="83">
        <f>('Fed Contracts Grnts-2Yr'!AK21)/('Total E&amp;G-2Yr'!AK21)*100</f>
        <v>17.947540052346852</v>
      </c>
      <c r="G26" s="119">
        <f>('Other Contracts Grnts-2Yr'!AK21/'Total E&amp;G-2Yr'!AK21)*100</f>
        <v>1.9038801482857466</v>
      </c>
      <c r="H26" s="83">
        <f>('All Other E&amp;G-2Yr'!AK21+'Investment Income-2Yr'!AK21)/('Total E&amp;G-2Yr'!AK21)*100</f>
        <v>2.3901988788346316</v>
      </c>
      <c r="I26" s="83">
        <f t="shared" si="8"/>
        <v>4.2694517435572692</v>
      </c>
      <c r="J26" s="83">
        <f t="shared" si="9"/>
        <v>1.7291007527580362</v>
      </c>
      <c r="K26" s="148">
        <f t="shared" si="10"/>
        <v>1.597122173555357E-2</v>
      </c>
      <c r="L26" s="83">
        <f t="shared" si="11"/>
        <v>-5.8008140559097434</v>
      </c>
      <c r="M26" s="76">
        <f t="shared" si="12"/>
        <v>-0.10573310699347327</v>
      </c>
      <c r="N26" s="83">
        <f t="shared" si="13"/>
        <v>-0.10797655514760462</v>
      </c>
      <c r="O26" s="23"/>
      <c r="P26" s="24">
        <f>('Tuition-2Yr'!AF21/'Total E&amp;G-2Yr'!AF21)*100</f>
        <v>42.301490731480399</v>
      </c>
      <c r="Q26" s="25">
        <f>('State Appropriations-2Yr'!AF21/'Total E&amp;G-2Yr'!AF21)*100</f>
        <v>29.249255656158478</v>
      </c>
      <c r="R26" s="26">
        <f>IF((('Local Appropriations-2Yr'!AF21/'Total E&amp;G-2Yr'!AF21)*100)&gt;=0.005,('Local Appropriations-2Yr'!AF21/'Total E&amp;G-2Yr'!AF21)*100,"*")</f>
        <v>0.19311081484305387</v>
      </c>
      <c r="S26" s="24">
        <f>('Fed Contracts Grnts-2Yr'!AF21/'Total E&amp;G-2Yr'!AF21)*100</f>
        <v>23.748354108256596</v>
      </c>
      <c r="T26" s="26">
        <f>('Other Contracts Grnts-2Yr'!AF21/'Total E&amp;G-2Yr'!AF21)*100</f>
        <v>2.0096132552792199</v>
      </c>
      <c r="U26" s="24">
        <f>IF(((('Investment Income-2Yr'!AF21+'All Other E&amp;G-2Yr'!AF21)/'Total E&amp;G-2Yr'!AF21)*100)&gt;=0.005,(('Investment Income-2Yr'!AF21+'All Other E&amp;G-2Yr'!AF21)/'Total E&amp;G-2Yr'!AF21)*100,"*")</f>
        <v>2.4981754339822362</v>
      </c>
      <c r="V26" s="45"/>
      <c r="W26" s="16">
        <f t="shared" si="1"/>
        <v>99.999999999999986</v>
      </c>
      <c r="X26" s="16">
        <f t="shared" si="2"/>
        <v>100.00000000000003</v>
      </c>
      <c r="Y26" s="1"/>
      <c r="Z26" s="109">
        <f t="shared" si="3"/>
        <v>29.442366471001531</v>
      </c>
      <c r="AA26" s="110">
        <f t="shared" si="14"/>
        <v>31.187438445495122</v>
      </c>
      <c r="AB26" s="109">
        <f t="shared" si="4"/>
        <v>25.757967363535816</v>
      </c>
      <c r="AC26" s="110">
        <f t="shared" si="5"/>
        <v>19.851420200632599</v>
      </c>
      <c r="AD26" s="109">
        <f t="shared" si="6"/>
        <v>99.999999999999972</v>
      </c>
      <c r="AE26" s="110">
        <f t="shared" si="7"/>
        <v>100.00000000000003</v>
      </c>
    </row>
    <row r="27" spans="1:31">
      <c r="A27" s="69" t="s">
        <v>36</v>
      </c>
      <c r="B27" s="69"/>
      <c r="C27" s="115">
        <f>('Tuition-2Yr'!AK22/'Total E&amp;G-2Yr'!AK22)*100</f>
        <v>35.786283827062896</v>
      </c>
      <c r="D27" s="82">
        <f>('State Appropriations-2Yr'!AK22)/('Total E&amp;G-2Yr'!AK22)*100</f>
        <v>30.34035913796253</v>
      </c>
      <c r="E27" s="115">
        <f>IF((('Local Appropriations-2Yr'!AK22/'Total E&amp;G-2Yr'!AK22)*100)=0,(('Local Appropriations-2Yr'!AK22/'Total E&amp;G-2Yr'!AK22)*100),IF((('Local Appropriations-2Yr'!AK22/'Total E&amp;G-2Yr'!AK22)*100)&gt;=0.005,('Local Appropriations-2Yr'!AK22/'Total E&amp;G-2Yr'!AK22)*100,"*"))</f>
        <v>0</v>
      </c>
      <c r="F27" s="82">
        <f>('Fed Contracts Grnts-2Yr'!AK22)/('Total E&amp;G-2Yr'!AK22)*100</f>
        <v>18.993604136904001</v>
      </c>
      <c r="G27" s="115">
        <f>('Other Contracts Grnts-2Yr'!AK22/'Total E&amp;G-2Yr'!AK22)*100</f>
        <v>10.587924183159378</v>
      </c>
      <c r="H27" s="117">
        <f>('All Other E&amp;G-2Yr'!AK22+'Investment Income-2Yr'!AK22)/('Total E&amp;G-2Yr'!AK22)*100</f>
        <v>4.2918287149112073</v>
      </c>
      <c r="I27" s="82">
        <f t="shared" si="8"/>
        <v>4.1610379331969902</v>
      </c>
      <c r="J27" s="82">
        <f t="shared" si="9"/>
        <v>1.5425022180735759</v>
      </c>
      <c r="K27" s="78">
        <f t="shared" si="10"/>
        <v>0</v>
      </c>
      <c r="L27" s="82">
        <f t="shared" si="11"/>
        <v>-5.8587186025019449</v>
      </c>
      <c r="M27" s="78">
        <f t="shared" si="12"/>
        <v>-1.2680128639950965</v>
      </c>
      <c r="N27" s="82">
        <f t="shared" si="13"/>
        <v>1.4231913152264828</v>
      </c>
      <c r="O27" s="23"/>
      <c r="P27" s="24">
        <f>('Tuition-2Yr'!AF22/'Total E&amp;G-2Yr'!AF22)*100</f>
        <v>31.625245893865905</v>
      </c>
      <c r="Q27" s="25">
        <f>('State Appropriations-2Yr'!AF22/'Total E&amp;G-2Yr'!AF22)*100</f>
        <v>28.797856919888954</v>
      </c>
      <c r="R27" s="26" t="str">
        <f>IF((('Local Appropriations-2Yr'!AF22/'Total E&amp;G-2Yr'!AF22)*100)&gt;=0.005,('Local Appropriations-2Yr'!AF22/'Total E&amp;G-2Yr'!AF22)*100,"*")</f>
        <v>*</v>
      </c>
      <c r="S27" s="24">
        <f>('Fed Contracts Grnts-2Yr'!AF22/'Total E&amp;G-2Yr'!AF22)*100</f>
        <v>24.852322739405945</v>
      </c>
      <c r="T27" s="26">
        <f>('Other Contracts Grnts-2Yr'!AF22/'Total E&amp;G-2Yr'!AF22)*100</f>
        <v>11.855937047154475</v>
      </c>
      <c r="U27" s="24">
        <f>IF(((('Investment Income-2Yr'!AF22+'All Other E&amp;G-2Yr'!AF22)/'Total E&amp;G-2Yr'!AF22)*100)&gt;=0.005,(('Investment Income-2Yr'!AF22+'All Other E&amp;G-2Yr'!AF22)/'Total E&amp;G-2Yr'!AF22)*100,"*")</f>
        <v>2.8686373996847245</v>
      </c>
      <c r="V27" s="45"/>
      <c r="W27" s="16">
        <f t="shared" si="1"/>
        <v>100</v>
      </c>
      <c r="X27" s="16">
        <f t="shared" si="2"/>
        <v>100</v>
      </c>
      <c r="Y27" s="1"/>
      <c r="Z27" s="109">
        <f t="shared" si="3"/>
        <v>28.797856919888954</v>
      </c>
      <c r="AA27" s="110">
        <f t="shared" si="14"/>
        <v>30.34035913796253</v>
      </c>
      <c r="AB27" s="109">
        <f t="shared" si="4"/>
        <v>36.708259786560419</v>
      </c>
      <c r="AC27" s="110">
        <f t="shared" si="5"/>
        <v>29.581528320063377</v>
      </c>
      <c r="AD27" s="109">
        <f t="shared" si="6"/>
        <v>100.00000000000001</v>
      </c>
      <c r="AE27" s="110">
        <f t="shared" si="7"/>
        <v>100</v>
      </c>
    </row>
    <row r="28" spans="1:31" s="36" customFormat="1">
      <c r="A28" s="70" t="s">
        <v>37</v>
      </c>
      <c r="B28" s="70"/>
      <c r="C28" s="76">
        <f>('Tuition-2Yr'!AK23/'Total E&amp;G-2Yr'!AK23)*100</f>
        <v>25.819083470404831</v>
      </c>
      <c r="D28" s="83">
        <f>('State Appropriations-2Yr'!AK23)/('Total E&amp;G-2Yr'!AK23)*100</f>
        <v>22.328809762159114</v>
      </c>
      <c r="E28" s="76">
        <f>IF((('Local Appropriations-2Yr'!AK23/'Total E&amp;G-2Yr'!AK23)*100)=0,(('Local Appropriations-2Yr'!AK23/'Total E&amp;G-2Yr'!AK23)*100),IF((('Local Appropriations-2Yr'!AK23/'Total E&amp;G-2Yr'!AK23)*100)&gt;=0.005,('Local Appropriations-2Yr'!AK23/'Total E&amp;G-2Yr'!AK23)*100,"*"))</f>
        <v>20.398981046878216</v>
      </c>
      <c r="F28" s="83">
        <f>('Fed Contracts Grnts-2Yr'!AK23)/('Total E&amp;G-2Yr'!AK23)*100</f>
        <v>13.094906795700304</v>
      </c>
      <c r="G28" s="76">
        <f>('Other Contracts Grnts-2Yr'!AK23/'Total E&amp;G-2Yr'!AK23)*100</f>
        <v>13.226344295557732</v>
      </c>
      <c r="H28" s="83">
        <f>('All Other E&amp;G-2Yr'!AK23+'Investment Income-2Yr'!AK23)/('Total E&amp;G-2Yr'!AK23)*100</f>
        <v>5.1318746292998112</v>
      </c>
      <c r="I28" s="83">
        <f t="shared" si="8"/>
        <v>5.3712338021226422</v>
      </c>
      <c r="J28" s="83">
        <f t="shared" si="9"/>
        <v>-4.6543156960451562</v>
      </c>
      <c r="K28" s="76">
        <f t="shared" si="10"/>
        <v>2.6380001795019297</v>
      </c>
      <c r="L28" s="83">
        <f t="shared" si="11"/>
        <v>-7.3265387346089028</v>
      </c>
      <c r="M28" s="76">
        <f t="shared" si="12"/>
        <v>4.1993972686224019</v>
      </c>
      <c r="N28" s="83">
        <f t="shared" si="13"/>
        <v>-0.22777681959291396</v>
      </c>
      <c r="O28" s="23"/>
      <c r="P28" s="24">
        <f>('Tuition-2Yr'!AF23/'Total E&amp;G-2Yr'!AF23)*100</f>
        <v>20.447849668282188</v>
      </c>
      <c r="Q28" s="25">
        <f>('State Appropriations-2Yr'!AF23/'Total E&amp;G-2Yr'!AF23)*100</f>
        <v>26.98312545820427</v>
      </c>
      <c r="R28" s="26">
        <f>('Local Appropriations-2Yr'!AF23/'Total E&amp;G-2Yr'!AF23)*100</f>
        <v>17.760980867376286</v>
      </c>
      <c r="S28" s="24">
        <f>('Fed Contracts Grnts-2Yr'!AF23/'Total E&amp;G-2Yr'!AF23)*100</f>
        <v>20.421445530309207</v>
      </c>
      <c r="T28" s="26">
        <f>('Other Contracts Grnts-2Yr'!AF23/'Total E&amp;G-2Yr'!AF23)*100</f>
        <v>9.0269470269353302</v>
      </c>
      <c r="U28" s="24">
        <f>IF(((('Investment Income-2Yr'!AF23+'All Other E&amp;G-2Yr'!AF23)/'Total E&amp;G-2Yr'!AF23)*100)&gt;=0.005,(('Investment Income-2Yr'!AF23+'All Other E&amp;G-2Yr'!AF23)/'Total E&amp;G-2Yr'!AF23)*100,"*")</f>
        <v>5.3596514488927252</v>
      </c>
      <c r="V28" s="45"/>
      <c r="W28" s="16">
        <f t="shared" si="1"/>
        <v>100.00000000000001</v>
      </c>
      <c r="X28" s="16">
        <f t="shared" si="2"/>
        <v>100.00000000000001</v>
      </c>
      <c r="Y28" s="1"/>
      <c r="Z28" s="109">
        <f t="shared" si="3"/>
        <v>44.74410632558056</v>
      </c>
      <c r="AA28" s="110">
        <f t="shared" si="14"/>
        <v>42.72779080903733</v>
      </c>
      <c r="AB28" s="109">
        <f t="shared" si="4"/>
        <v>29.448392557244539</v>
      </c>
      <c r="AC28" s="110">
        <f t="shared" si="5"/>
        <v>26.321251091258034</v>
      </c>
      <c r="AD28" s="109">
        <f t="shared" si="6"/>
        <v>100.00000000000001</v>
      </c>
      <c r="AE28" s="110">
        <f t="shared" si="7"/>
        <v>100.00000000000001</v>
      </c>
    </row>
    <row r="29" spans="1:31">
      <c r="A29" s="70"/>
      <c r="B29" s="70"/>
      <c r="C29" s="76"/>
      <c r="D29" s="83"/>
      <c r="E29" s="76"/>
      <c r="F29" s="83"/>
      <c r="G29" s="76"/>
      <c r="H29" s="83"/>
      <c r="I29" s="83"/>
      <c r="J29" s="83"/>
      <c r="K29" s="76"/>
      <c r="L29" s="83"/>
      <c r="M29" s="76"/>
      <c r="N29" s="83"/>
      <c r="O29" s="23"/>
      <c r="P29" s="10"/>
      <c r="Q29" s="10"/>
      <c r="R29" s="10"/>
      <c r="S29" s="10"/>
      <c r="T29" s="10"/>
      <c r="U29" s="10"/>
      <c r="V29" s="10"/>
      <c r="W29" s="16"/>
      <c r="X29" s="16"/>
      <c r="Y29" s="1"/>
      <c r="Z29" s="109"/>
      <c r="AA29" s="110"/>
      <c r="AB29" s="109"/>
      <c r="AC29" s="110"/>
      <c r="AD29" s="109"/>
      <c r="AE29" s="110"/>
    </row>
    <row r="30" spans="1:31">
      <c r="A30" s="71" t="s">
        <v>38</v>
      </c>
      <c r="B30" s="71"/>
      <c r="C30" s="77">
        <f>('Tuition-2Yr'!AK25/'Total E&amp;G-2Yr'!AK25)*100</f>
        <v>4.4914588120814596</v>
      </c>
      <c r="D30" s="84">
        <f>('State Appropriations-2Yr'!AK25)/('Total E&amp;G-2Yr'!AK25)*100</f>
        <v>0</v>
      </c>
      <c r="E30" s="77">
        <f>IF((('Local Appropriations-2Yr'!AK25/'Total E&amp;G-2Yr'!AK25)*100)=0,(('Local Appropriations-2Yr'!AK25/'Total E&amp;G-2Yr'!AK25)*100),IF((('Local Appropriations-2Yr'!AK25/'Total E&amp;G-2Yr'!AK25)*100)&gt;=0.005,('Local Appropriations-2Yr'!AK25/'Total E&amp;G-2Yr'!AK25)*100,"*"))</f>
        <v>68.226153452292266</v>
      </c>
      <c r="F30" s="84">
        <f>('Fed Contracts Grnts-2Yr'!AK25)/('Total E&amp;G-2Yr'!AK25)*100</f>
        <v>15.065670214125786</v>
      </c>
      <c r="G30" s="77">
        <f>('Other Contracts Grnts-2Yr'!AK25/'Total E&amp;G-2Yr'!AK25)*100</f>
        <v>9.582879406151859</v>
      </c>
      <c r="H30" s="84">
        <f>('All Other E&amp;G-2Yr'!AK25+'Investment Income-2Yr'!AK25)/('Total E&amp;G-2Yr'!AK25)*100</f>
        <v>2.633838115348615</v>
      </c>
      <c r="I30" s="84" t="s">
        <v>86</v>
      </c>
      <c r="J30" s="84" t="s">
        <v>86</v>
      </c>
      <c r="K30" s="77" t="s">
        <v>86</v>
      </c>
      <c r="L30" s="84" t="s">
        <v>86</v>
      </c>
      <c r="M30" s="77" t="s">
        <v>86</v>
      </c>
      <c r="N30" s="84" t="s">
        <v>86</v>
      </c>
      <c r="O30" s="23"/>
      <c r="P30" s="10" t="e">
        <f>('Tuition-2Yr'!AF25/'Total E&amp;G-2Yr'!AF25)*100</f>
        <v>#DIV/0!</v>
      </c>
      <c r="Q30" s="10" t="e">
        <f>('State Appropriations-2Yr'!AF25/'Total E&amp;G-2Yr'!AF25)*100</f>
        <v>#DIV/0!</v>
      </c>
      <c r="R30" s="10" t="e">
        <f>IF((('Local Appropriations-2Yr'!AF25/'Total E&amp;G-2Yr'!AF25)*100)&gt;=0.005,('Local Appropriations-2Yr'!AF25/'Total E&amp;G-2Yr'!AF25)*100,"*")</f>
        <v>#DIV/0!</v>
      </c>
      <c r="S30" s="10" t="e">
        <f>('Fed Contracts Grnts-2Yr'!AF25/'Total E&amp;G-2Yr'!AF25)*100</f>
        <v>#DIV/0!</v>
      </c>
      <c r="T30" s="10" t="e">
        <f>('Other Contracts Grnts-2Yr'!AF25/'Total E&amp;G-2Yr'!AF25)*100</f>
        <v>#DIV/0!</v>
      </c>
      <c r="U30" s="10" t="e">
        <f>IF(((('Investment Income-2Yr'!AF25+'All Other E&amp;G-2Yr'!AF25)/'Total E&amp;G-2Yr'!AF25)*100)&gt;=0.005,(('Investment Income-2Yr'!AF25+'All Other E&amp;G-2Yr'!AF25)/'Total E&amp;G-2Yr'!AF25)*100,"*")</f>
        <v>#DIV/0!</v>
      </c>
      <c r="V30" s="10"/>
      <c r="W30" s="16" t="e">
        <f t="shared" ref="W30" si="15">SUM(P30:U30)</f>
        <v>#DIV/0!</v>
      </c>
      <c r="X30" s="16">
        <f t="shared" ref="X30" si="16">SUM(C30:H30)</f>
        <v>99.999999999999986</v>
      </c>
      <c r="Y30" s="1"/>
      <c r="Z30" s="109" t="e">
        <f t="shared" ref="Z30" si="17">Q30+R30</f>
        <v>#DIV/0!</v>
      </c>
      <c r="AA30" s="110">
        <f t="shared" ref="AA30" si="18">D30+E30</f>
        <v>68.226153452292266</v>
      </c>
      <c r="AB30" s="109" t="e">
        <f t="shared" ref="AB30" si="19">+T30+S30</f>
        <v>#DIV/0!</v>
      </c>
      <c r="AC30" s="110">
        <f t="shared" ref="AC30" si="20">+G30+F30</f>
        <v>24.648549620277645</v>
      </c>
      <c r="AD30" s="109" t="e">
        <f t="shared" ref="AD30" si="21">+AB30+Z30+U30+P30</f>
        <v>#DIV/0!</v>
      </c>
      <c r="AE30" s="110">
        <f t="shared" ref="AE30" si="22">+AC30+AA30+H30+C30</f>
        <v>99.999999999999986</v>
      </c>
    </row>
    <row r="31" spans="1:31">
      <c r="A31" s="71" t="s">
        <v>39</v>
      </c>
      <c r="B31" s="71"/>
      <c r="C31" s="77">
        <f>('Tuition-2Yr'!AK26/'Total E&amp;G-2Yr'!AK26)*100</f>
        <v>27.978554514505127</v>
      </c>
      <c r="D31" s="84">
        <f>('State Appropriations-2Yr'!AK26)/('Total E&amp;G-2Yr'!AK26)*100</f>
        <v>3.0228942659014537</v>
      </c>
      <c r="E31" s="77">
        <f>IF((('Local Appropriations-2Yr'!AK26/'Total E&amp;G-2Yr'!AK26)*100)=0,(('Local Appropriations-2Yr'!AK26/'Total E&amp;G-2Yr'!AK26)*100),IF((('Local Appropriations-2Yr'!AK26/'Total E&amp;G-2Yr'!AK26)*100)&gt;=0.005,('Local Appropriations-2Yr'!AK26/'Total E&amp;G-2Yr'!AK26)*100,"*"))</f>
        <v>47.775544039673754</v>
      </c>
      <c r="F31" s="84">
        <f>('Fed Contracts Grnts-2Yr'!AK26)/('Total E&amp;G-2Yr'!AK26)*100</f>
        <v>16.016296956990246</v>
      </c>
      <c r="G31" s="77">
        <f>('Other Contracts Grnts-2Yr'!AK26/'Total E&amp;G-2Yr'!AK26)*100</f>
        <v>2.8148578920927152</v>
      </c>
      <c r="H31" s="84">
        <f>('All Other E&amp;G-2Yr'!AK26+'Investment Income-2Yr'!AK26)/('Total E&amp;G-2Yr'!AK26)*100</f>
        <v>2.3918523308367168</v>
      </c>
      <c r="I31" s="84">
        <f t="shared" ref="I31:I43" si="23">IF((C31-P31)=0,(C31-P31),IF((C31-P31)&gt;=0.005,(C31-P31),IF((C31-P31&lt;=-0.005),(C31-P31),"*")))</f>
        <v>7.9110767477129542</v>
      </c>
      <c r="J31" s="84">
        <f t="shared" ref="J31:J43" si="24">IF((D31-Q31)=0,(D31-Q31),IF((D31-Q31)&gt;=0.005,(D31-Q31),IF((D31-Q31&lt;=-0.005),(D31-Q31),"*")))</f>
        <v>-1.5047987659382036</v>
      </c>
      <c r="K31" s="77">
        <f t="shared" ref="K31:K43" si="25">IF((E31-R31)=0,(E31-R31),IF((E31-R31)&gt;=0.005,(E31-R31),IF((E31-R31&lt;=-0.005),(E31-R31),"*")))</f>
        <v>1.3476813912156231</v>
      </c>
      <c r="L31" s="84">
        <f t="shared" ref="L31:L43" si="26">IF((F31-S31)=0,(F31-S31),IF((F31-S31)&gt;=0.005,(F31-S31),IF((F31-S31&lt;=-0.005),(F31-S31),"*")))</f>
        <v>-6.6665012122879297</v>
      </c>
      <c r="M31" s="77">
        <f t="shared" ref="M31:M43" si="27">IF((G31-T31)=0,(G31-T31),IF((G31-T31)&gt;=0.005,(G31-T31),IF((G31-T31&lt;=-0.005),(G31-T31),"*")))</f>
        <v>1.1421447680098296</v>
      </c>
      <c r="N31" s="84">
        <f t="shared" ref="N31:N43" si="28">IF((H31-U31)=0,(H31-U31),IF((H31-U31)&gt;=0.005,(H31-U31),IF((H31-U31&lt;=-0.005),(H31-U31),"*")))</f>
        <v>-2.2296029287122621</v>
      </c>
      <c r="O31" s="23"/>
      <c r="P31" s="10">
        <f>('Tuition-2Yr'!AF26/'Total E&amp;G-2Yr'!AF26)*100</f>
        <v>20.067477766792173</v>
      </c>
      <c r="Q31" s="10">
        <f>('State Appropriations-2Yr'!AF26/'Total E&amp;G-2Yr'!AF26)*100</f>
        <v>4.5276930318396573</v>
      </c>
      <c r="R31" s="10">
        <f>IF((('Local Appropriations-2Yr'!AF26/'Total E&amp;G-2Yr'!AF26)*100)&gt;=0.005,('Local Appropriations-2Yr'!AF26/'Total E&amp;G-2Yr'!AF26)*100,"*")</f>
        <v>46.427862648458131</v>
      </c>
      <c r="S31" s="10">
        <f>('Fed Contracts Grnts-2Yr'!AF26/'Total E&amp;G-2Yr'!AF26)*100</f>
        <v>22.682798169278175</v>
      </c>
      <c r="T31" s="10">
        <f>('Other Contracts Grnts-2Yr'!AF26/'Total E&amp;G-2Yr'!AF26)*100</f>
        <v>1.6727131240828856</v>
      </c>
      <c r="U31" s="10">
        <f>IF(((('Investment Income-2Yr'!AF26+'All Other E&amp;G-2Yr'!AF26)/'Total E&amp;G-2Yr'!AF26)*100)&gt;=0.005,(('Investment Income-2Yr'!AF26+'All Other E&amp;G-2Yr'!AF26)/'Total E&amp;G-2Yr'!AF26)*100,"*")</f>
        <v>4.6214552595489788</v>
      </c>
      <c r="V31" s="10"/>
      <c r="W31" s="16">
        <f t="shared" si="1"/>
        <v>100</v>
      </c>
      <c r="X31" s="16">
        <f t="shared" si="2"/>
        <v>100.00000000000001</v>
      </c>
      <c r="Y31" s="1"/>
      <c r="Z31" s="109">
        <f t="shared" si="3"/>
        <v>50.955555680297792</v>
      </c>
      <c r="AA31" s="110">
        <f t="shared" si="14"/>
        <v>50.79843830557521</v>
      </c>
      <c r="AB31" s="109">
        <f t="shared" si="4"/>
        <v>24.355511293361062</v>
      </c>
      <c r="AC31" s="110">
        <f t="shared" si="5"/>
        <v>18.83115484908296</v>
      </c>
      <c r="AD31" s="109">
        <f t="shared" si="6"/>
        <v>100</v>
      </c>
      <c r="AE31" s="110">
        <f t="shared" si="7"/>
        <v>100</v>
      </c>
    </row>
    <row r="32" spans="1:31">
      <c r="A32" s="71" t="s">
        <v>40</v>
      </c>
      <c r="B32" s="71"/>
      <c r="C32" s="77">
        <f>('Tuition-2Yr'!AK27/'Total E&amp;G-2Yr'!AK27)*100</f>
        <v>21.502327983593371</v>
      </c>
      <c r="D32" s="84">
        <f>('State Appropriations-2Yr'!AK27)/('Total E&amp;G-2Yr'!AK27)*100</f>
        <v>22.974705429676636</v>
      </c>
      <c r="E32" s="77">
        <f>IF((('Local Appropriations-2Yr'!AK27/'Total E&amp;G-2Yr'!AK27)*100)=0,(('Local Appropriations-2Yr'!AK27/'Total E&amp;G-2Yr'!AK27)*100),IF((('Local Appropriations-2Yr'!AK27/'Total E&amp;G-2Yr'!AK27)*100)&gt;=0.005,('Local Appropriations-2Yr'!AK27/'Total E&amp;G-2Yr'!AK27)*100,"*"))</f>
        <v>22.776115486173598</v>
      </c>
      <c r="F32" s="84">
        <f>('Fed Contracts Grnts-2Yr'!AK27)/('Total E&amp;G-2Yr'!AK27)*100</f>
        <v>12.301636330258683</v>
      </c>
      <c r="G32" s="77">
        <f>('Other Contracts Grnts-2Yr'!AK27/'Total E&amp;G-2Yr'!AK27)*100</f>
        <v>15.042945503889641</v>
      </c>
      <c r="H32" s="84">
        <f>('All Other E&amp;G-2Yr'!AK27+'Investment Income-2Yr'!AK27)/('Total E&amp;G-2Yr'!AK27)*100</f>
        <v>5.4022692664080605</v>
      </c>
      <c r="I32" s="84">
        <f t="shared" si="23"/>
        <v>6.4929241338681898</v>
      </c>
      <c r="J32" s="84">
        <f t="shared" si="24"/>
        <v>-5.339676939138819</v>
      </c>
      <c r="K32" s="77">
        <f t="shared" si="25"/>
        <v>-0.46577228629121237</v>
      </c>
      <c r="L32" s="84">
        <f t="shared" si="26"/>
        <v>-8.1572014166141731</v>
      </c>
      <c r="M32" s="77">
        <f t="shared" si="27"/>
        <v>6.5420004977225439</v>
      </c>
      <c r="N32" s="84">
        <f t="shared" si="28"/>
        <v>0.92772601045345926</v>
      </c>
      <c r="O32" s="23"/>
      <c r="P32" s="10">
        <f>('Tuition-2Yr'!AF27/'Total E&amp;G-2Yr'!AF27)*100</f>
        <v>15.009403849725182</v>
      </c>
      <c r="Q32" s="10">
        <f>('State Appropriations-2Yr'!AF27/'Total E&amp;G-2Yr'!AF27)*100</f>
        <v>28.314382368815455</v>
      </c>
      <c r="R32" s="10">
        <f>IF((('Local Appropriations-2Yr'!AF27/'Total E&amp;G-2Yr'!AF27)*100)&gt;=0.005,('Local Appropriations-2Yr'!AF27/'Total E&amp;G-2Yr'!AF27)*100,"*")</f>
        <v>23.241887772464811</v>
      </c>
      <c r="S32" s="10">
        <f>('Fed Contracts Grnts-2Yr'!AF27/'Total E&amp;G-2Yr'!AF27)*100</f>
        <v>20.458837746872856</v>
      </c>
      <c r="T32" s="10">
        <f>('Other Contracts Grnts-2Yr'!AF27/'Total E&amp;G-2Yr'!AF27)*100</f>
        <v>8.5009450061670968</v>
      </c>
      <c r="U32" s="10">
        <f>IF(((('Investment Income-2Yr'!AF27+'All Other E&amp;G-2Yr'!AF27)/'Total E&amp;G-2Yr'!AF27)*100)&gt;=0.005,(('Investment Income-2Yr'!AF27+'All Other E&amp;G-2Yr'!AF27)/'Total E&amp;G-2Yr'!AF27)*100,"*")</f>
        <v>4.4745432559546012</v>
      </c>
      <c r="V32" s="10"/>
      <c r="W32" s="16">
        <f t="shared" si="1"/>
        <v>100</v>
      </c>
      <c r="X32" s="16">
        <f t="shared" si="2"/>
        <v>99.999999999999986</v>
      </c>
      <c r="Y32" s="1"/>
      <c r="Z32" s="109">
        <f t="shared" si="3"/>
        <v>51.556270141280265</v>
      </c>
      <c r="AA32" s="110">
        <f t="shared" si="14"/>
        <v>45.750820915850234</v>
      </c>
      <c r="AB32" s="109">
        <f t="shared" si="4"/>
        <v>28.959782753039953</v>
      </c>
      <c r="AC32" s="110">
        <f t="shared" si="5"/>
        <v>27.344581834148322</v>
      </c>
      <c r="AD32" s="109">
        <f t="shared" si="6"/>
        <v>100</v>
      </c>
      <c r="AE32" s="110">
        <f t="shared" si="7"/>
        <v>99.999999999999986</v>
      </c>
    </row>
    <row r="33" spans="1:31">
      <c r="A33" s="71" t="s">
        <v>41</v>
      </c>
      <c r="B33" s="71"/>
      <c r="C33" s="77">
        <f>('Tuition-2Yr'!AK28/'Total E&amp;G-2Yr'!AK28)*100</f>
        <v>55.154842806730201</v>
      </c>
      <c r="D33" s="84">
        <f>('State Appropriations-2Yr'!AK28)/('Total E&amp;G-2Yr'!AK28)*100</f>
        <v>1.7782976905202863</v>
      </c>
      <c r="E33" s="77">
        <f>IF((('Local Appropriations-2Yr'!AK28/'Total E&amp;G-2Yr'!AK28)*100)=0,(('Local Appropriations-2Yr'!AK28/'Total E&amp;G-2Yr'!AK28)*100),IF((('Local Appropriations-2Yr'!AK28/'Total E&amp;G-2Yr'!AK28)*100)&gt;=0.005,('Local Appropriations-2Yr'!AK28/'Total E&amp;G-2Yr'!AK28)*100,"*"))</f>
        <v>7.8463554184634967</v>
      </c>
      <c r="F33" s="84">
        <f>('Fed Contracts Grnts-2Yr'!AK28)/('Total E&amp;G-2Yr'!AK28)*100</f>
        <v>14.18765890342927</v>
      </c>
      <c r="G33" s="77">
        <f>('Other Contracts Grnts-2Yr'!AK28/'Total E&amp;G-2Yr'!AK28)*100</f>
        <v>11.651245731789819</v>
      </c>
      <c r="H33" s="84">
        <f>('All Other E&amp;G-2Yr'!AK28+'Investment Income-2Yr'!AK28)/('Total E&amp;G-2Yr'!AK28)*100</f>
        <v>9.3815994490669201</v>
      </c>
      <c r="I33" s="84">
        <f t="shared" si="23"/>
        <v>6.0083507149073867</v>
      </c>
      <c r="J33" s="84">
        <f t="shared" si="24"/>
        <v>-0.25232464846850333</v>
      </c>
      <c r="K33" s="77">
        <f t="shared" si="25"/>
        <v>-4.6257518608197765</v>
      </c>
      <c r="L33" s="84">
        <f t="shared" si="26"/>
        <v>-7.9901971663891729</v>
      </c>
      <c r="M33" s="77">
        <f t="shared" si="27"/>
        <v>1.7571492676898011</v>
      </c>
      <c r="N33" s="84">
        <f t="shared" si="28"/>
        <v>5.1027736930802554</v>
      </c>
      <c r="O33" s="23"/>
      <c r="P33" s="10">
        <f>('Tuition-2Yr'!AF28/'Total E&amp;G-2Yr'!AF28)*100</f>
        <v>49.146492091822815</v>
      </c>
      <c r="Q33" s="10">
        <f>('State Appropriations-2Yr'!AF28/'Total E&amp;G-2Yr'!AF28)*100</f>
        <v>2.0306223389887896</v>
      </c>
      <c r="R33" s="10">
        <f>IF((('Local Appropriations-2Yr'!AF28/'Total E&amp;G-2Yr'!AF28)*100)&gt;=0.005,('Local Appropriations-2Yr'!AF28/'Total E&amp;G-2Yr'!AF28)*100,"*")</f>
        <v>12.472107279283273</v>
      </c>
      <c r="S33" s="10">
        <f>('Fed Contracts Grnts-2Yr'!AF28/'Total E&amp;G-2Yr'!AF28)*100</f>
        <v>22.177856069818443</v>
      </c>
      <c r="T33" s="10">
        <f>('Other Contracts Grnts-2Yr'!AF28/'Total E&amp;G-2Yr'!AF28)*100</f>
        <v>9.8940964641000182</v>
      </c>
      <c r="U33" s="10">
        <f>IF(((('Investment Income-2Yr'!AF28+'All Other E&amp;G-2Yr'!AF28)/'Total E&amp;G-2Yr'!AF28)*100)&gt;=0.005,(('Investment Income-2Yr'!AF28+'All Other E&amp;G-2Yr'!AF28)/'Total E&amp;G-2Yr'!AF28)*100,"*")</f>
        <v>4.2788257559866647</v>
      </c>
      <c r="V33" s="10"/>
      <c r="W33" s="16">
        <f t="shared" si="1"/>
        <v>100</v>
      </c>
      <c r="X33" s="16">
        <f t="shared" si="2"/>
        <v>99.999999999999986</v>
      </c>
      <c r="Y33" s="1"/>
      <c r="Z33" s="109">
        <f t="shared" si="3"/>
        <v>14.502729618272063</v>
      </c>
      <c r="AA33" s="110">
        <f t="shared" si="14"/>
        <v>9.6246531089837823</v>
      </c>
      <c r="AB33" s="109">
        <f t="shared" si="4"/>
        <v>32.071952533918463</v>
      </c>
      <c r="AC33" s="110">
        <f t="shared" si="5"/>
        <v>25.838904635219087</v>
      </c>
      <c r="AD33" s="109">
        <f t="shared" si="6"/>
        <v>100</v>
      </c>
      <c r="AE33" s="110">
        <f t="shared" si="7"/>
        <v>100</v>
      </c>
    </row>
    <row r="34" spans="1:31">
      <c r="A34" s="70" t="s">
        <v>42</v>
      </c>
      <c r="B34" s="70"/>
      <c r="C34" s="76">
        <f>('Tuition-2Yr'!AK29/'Total E&amp;G-2Yr'!AK29)*100</f>
        <v>23.216967577886223</v>
      </c>
      <c r="D34" s="83">
        <f>('State Appropriations-2Yr'!AK29)/('Total E&amp;G-2Yr'!AK29)*100</f>
        <v>37.881298103317981</v>
      </c>
      <c r="E34" s="76">
        <f>IF((('Local Appropriations-2Yr'!AK29/'Total E&amp;G-2Yr'!AK29)*100)=0,(('Local Appropriations-2Yr'!AK29/'Total E&amp;G-2Yr'!AK29)*100),IF((('Local Appropriations-2Yr'!AK29/'Total E&amp;G-2Yr'!AK29)*100)&gt;=0.005,('Local Appropriations-2Yr'!AK29/'Total E&amp;G-2Yr'!AK29)*100,"*"))</f>
        <v>0</v>
      </c>
      <c r="F34" s="83">
        <f>('Fed Contracts Grnts-2Yr'!AK29)/('Total E&amp;G-2Yr'!AK29)*100</f>
        <v>15.059492899240636</v>
      </c>
      <c r="G34" s="76">
        <f>('Other Contracts Grnts-2Yr'!AK29/'Total E&amp;G-2Yr'!AK29)*100</f>
        <v>21.796547283942683</v>
      </c>
      <c r="H34" s="83">
        <f>('All Other E&amp;G-2Yr'!AK29+'Investment Income-2Yr'!AK29)/('Total E&amp;G-2Yr'!AK29)*100</f>
        <v>2.0456941356124609</v>
      </c>
      <c r="I34" s="83">
        <f t="shared" si="23"/>
        <v>-1.9748913796458858</v>
      </c>
      <c r="J34" s="83">
        <f t="shared" si="24"/>
        <v>2.1998999586244352</v>
      </c>
      <c r="K34" s="76">
        <f t="shared" si="25"/>
        <v>0</v>
      </c>
      <c r="L34" s="83">
        <f t="shared" si="26"/>
        <v>-8.6010653053181638</v>
      </c>
      <c r="M34" s="76">
        <f t="shared" si="27"/>
        <v>8.4309697248300015</v>
      </c>
      <c r="N34" s="83">
        <f t="shared" si="28"/>
        <v>-5.491299849037734E-2</v>
      </c>
      <c r="O34" s="23"/>
      <c r="P34" s="10">
        <f>('Tuition-2Yr'!AF29/'Total E&amp;G-2Yr'!AF29)*100</f>
        <v>25.191858957532109</v>
      </c>
      <c r="Q34" s="10">
        <f>('State Appropriations-2Yr'!AF29/'Total E&amp;G-2Yr'!AF29)*100</f>
        <v>35.681398144693546</v>
      </c>
      <c r="R34" s="10" t="str">
        <f>IF((('Local Appropriations-2Yr'!AF29/'Total E&amp;G-2Yr'!AF29)*100)&gt;=0.005,('Local Appropriations-2Yr'!AF29/'Total E&amp;G-2Yr'!AF29)*100,"*")</f>
        <v>*</v>
      </c>
      <c r="S34" s="10">
        <f>('Fed Contracts Grnts-2Yr'!AF29/'Total E&amp;G-2Yr'!AF29)*100</f>
        <v>23.6605582045588</v>
      </c>
      <c r="T34" s="10">
        <f>('Other Contracts Grnts-2Yr'!AF29/'Total E&amp;G-2Yr'!AF29)*100</f>
        <v>13.365577559112682</v>
      </c>
      <c r="U34" s="10">
        <f>IF(((('Investment Income-2Yr'!AF29+'All Other E&amp;G-2Yr'!AF29)/'Total E&amp;G-2Yr'!AF29)*100)&gt;=0.005,(('Investment Income-2Yr'!AF29+'All Other E&amp;G-2Yr'!AF29)/'Total E&amp;G-2Yr'!AF29)*100,"*")</f>
        <v>2.1006071341028383</v>
      </c>
      <c r="V34" s="10"/>
      <c r="W34" s="16">
        <f t="shared" si="1"/>
        <v>99.999999999999972</v>
      </c>
      <c r="X34" s="16">
        <f t="shared" si="2"/>
        <v>99.999999999999986</v>
      </c>
      <c r="Y34" s="1"/>
      <c r="Z34" s="109">
        <f t="shared" si="3"/>
        <v>35.681398144693546</v>
      </c>
      <c r="AA34" s="110">
        <f t="shared" si="14"/>
        <v>37.881298103317981</v>
      </c>
      <c r="AB34" s="109">
        <f t="shared" si="4"/>
        <v>37.026135763671483</v>
      </c>
      <c r="AC34" s="110">
        <f t="shared" si="5"/>
        <v>36.856040183183318</v>
      </c>
      <c r="AD34" s="109">
        <f t="shared" si="6"/>
        <v>99.999999999999986</v>
      </c>
      <c r="AE34" s="110">
        <f t="shared" si="7"/>
        <v>99.999999999999986</v>
      </c>
    </row>
    <row r="35" spans="1:31">
      <c r="A35" s="70" t="s">
        <v>43</v>
      </c>
      <c r="B35" s="70"/>
      <c r="C35" s="76">
        <f>('Tuition-2Yr'!AK30/'Total E&amp;G-2Yr'!AK30)*100</f>
        <v>28.357506511353424</v>
      </c>
      <c r="D35" s="83">
        <f>('State Appropriations-2Yr'!AK30)/('Total E&amp;G-2Yr'!AK30)*100</f>
        <v>27.226558487250458</v>
      </c>
      <c r="E35" s="76">
        <f>IF((('Local Appropriations-2Yr'!AK30/'Total E&amp;G-2Yr'!AK30)*100)=0,(('Local Appropriations-2Yr'!AK30/'Total E&amp;G-2Yr'!AK30)*100),IF((('Local Appropriations-2Yr'!AK30/'Total E&amp;G-2Yr'!AK30)*100)&gt;=0.005,('Local Appropriations-2Yr'!AK30/'Total E&amp;G-2Yr'!AK30)*100,"*"))</f>
        <v>12.194144699486746</v>
      </c>
      <c r="F35" s="83">
        <f>('Fed Contracts Grnts-2Yr'!AK30)/('Total E&amp;G-2Yr'!AK30)*100</f>
        <v>18.444315778211973</v>
      </c>
      <c r="G35" s="76">
        <f>('Other Contracts Grnts-2Yr'!AK30/'Total E&amp;G-2Yr'!AK30)*100</f>
        <v>5.4707968508101699</v>
      </c>
      <c r="H35" s="83">
        <f>('All Other E&amp;G-2Yr'!AK30+'Investment Income-2Yr'!AK30)/('Total E&amp;G-2Yr'!AK30)*100</f>
        <v>8.3066776728872327</v>
      </c>
      <c r="I35" s="83">
        <f t="shared" si="23"/>
        <v>-0.46021394309826391</v>
      </c>
      <c r="J35" s="83">
        <f t="shared" si="24"/>
        <v>6.5013674960191032</v>
      </c>
      <c r="K35" s="76">
        <f t="shared" si="25"/>
        <v>0.24538159664007786</v>
      </c>
      <c r="L35" s="83">
        <f t="shared" si="26"/>
        <v>-3.7233349629767112</v>
      </c>
      <c r="M35" s="76">
        <f t="shared" si="27"/>
        <v>-2.3327384661100607</v>
      </c>
      <c r="N35" s="83">
        <f t="shared" si="28"/>
        <v>-0.23046172047413371</v>
      </c>
      <c r="O35" s="23"/>
      <c r="P35" s="10">
        <f>('Tuition-2Yr'!AF30/'Total E&amp;G-2Yr'!AF30)*100</f>
        <v>28.817720454451688</v>
      </c>
      <c r="Q35" s="10">
        <f>('State Appropriations-2Yr'!AF30/'Total E&amp;G-2Yr'!AF30)*100</f>
        <v>20.725190991231354</v>
      </c>
      <c r="R35" s="10">
        <f>IF((('Local Appropriations-2Yr'!AF30/'Total E&amp;G-2Yr'!AF30)*100)&gt;=0.005,('Local Appropriations-2Yr'!AF30/'Total E&amp;G-2Yr'!AF30)*100,"*")</f>
        <v>11.948763102846668</v>
      </c>
      <c r="S35" s="10">
        <f>('Fed Contracts Grnts-2Yr'!AF30/'Total E&amp;G-2Yr'!AF30)*100</f>
        <v>22.167650741188684</v>
      </c>
      <c r="T35" s="10">
        <f>('Other Contracts Grnts-2Yr'!AF30/'Total E&amp;G-2Yr'!AF30)*100</f>
        <v>7.8035353169202306</v>
      </c>
      <c r="U35" s="10">
        <f>IF(((('Investment Income-2Yr'!AF30+'All Other E&amp;G-2Yr'!AF30)/'Total E&amp;G-2Yr'!AF30)*100)&gt;=0.005,(('Investment Income-2Yr'!AF30+'All Other E&amp;G-2Yr'!AF30)/'Total E&amp;G-2Yr'!AF30)*100,"*")</f>
        <v>8.5371393933613664</v>
      </c>
      <c r="V35" s="10"/>
      <c r="W35" s="16">
        <f t="shared" si="1"/>
        <v>100</v>
      </c>
      <c r="X35" s="16">
        <f t="shared" si="2"/>
        <v>100</v>
      </c>
      <c r="Y35" s="1"/>
      <c r="Z35" s="109">
        <f t="shared" si="3"/>
        <v>32.67395409407802</v>
      </c>
      <c r="AA35" s="110">
        <f t="shared" si="14"/>
        <v>39.4207031867372</v>
      </c>
      <c r="AB35" s="109">
        <f t="shared" si="4"/>
        <v>29.971186058108913</v>
      </c>
      <c r="AC35" s="110">
        <f t="shared" si="5"/>
        <v>23.915112629022143</v>
      </c>
      <c r="AD35" s="109">
        <f t="shared" si="6"/>
        <v>99.999999999999986</v>
      </c>
      <c r="AE35" s="110">
        <f t="shared" si="7"/>
        <v>100</v>
      </c>
    </row>
    <row r="36" spans="1:31">
      <c r="A36" s="70" t="s">
        <v>44</v>
      </c>
      <c r="B36" s="70"/>
      <c r="C36" s="76">
        <f>('Tuition-2Yr'!AK31/'Total E&amp;G-2Yr'!AK31)*100</f>
        <v>27.127896360521198</v>
      </c>
      <c r="D36" s="83">
        <f>('State Appropriations-2Yr'!AK31)/('Total E&amp;G-2Yr'!AK31)*100</f>
        <v>20.075602161023912</v>
      </c>
      <c r="E36" s="76">
        <f>IF((('Local Appropriations-2Yr'!AK31/'Total E&amp;G-2Yr'!AK31)*100)=0,(('Local Appropriations-2Yr'!AK31/'Total E&amp;G-2Yr'!AK31)*100),IF((('Local Appropriations-2Yr'!AK31/'Total E&amp;G-2Yr'!AK31)*100)&gt;=0.005,('Local Appropriations-2Yr'!AK31/'Total E&amp;G-2Yr'!AK31)*100,"*"))</f>
        <v>8.4129681552555411</v>
      </c>
      <c r="F36" s="83">
        <f>('Fed Contracts Grnts-2Yr'!AK31)/('Total E&amp;G-2Yr'!AK31)*100</f>
        <v>31.817518767383412</v>
      </c>
      <c r="G36" s="76">
        <f>('Other Contracts Grnts-2Yr'!AK31/'Total E&amp;G-2Yr'!AK31)*100</f>
        <v>5.5248867877858201</v>
      </c>
      <c r="H36" s="83">
        <f>('All Other E&amp;G-2Yr'!AK31+'Investment Income-2Yr'!AK31)/('Total E&amp;G-2Yr'!AK31)*100</f>
        <v>7.0411277680301243</v>
      </c>
      <c r="I36" s="83">
        <f t="shared" si="23"/>
        <v>6.1974897066618482</v>
      </c>
      <c r="J36" s="83">
        <f t="shared" si="24"/>
        <v>-1.590201303716114</v>
      </c>
      <c r="K36" s="76">
        <f t="shared" si="25"/>
        <v>0.7230383281352859</v>
      </c>
      <c r="L36" s="83">
        <f t="shared" si="26"/>
        <v>-4.0094961093593824</v>
      </c>
      <c r="M36" s="76">
        <f t="shared" si="27"/>
        <v>1.1292839487480171</v>
      </c>
      <c r="N36" s="83">
        <f t="shared" si="28"/>
        <v>-2.4501145704696459</v>
      </c>
      <c r="O36" s="23"/>
      <c r="P36" s="10">
        <f>('Tuition-2Yr'!AF31/'Total E&amp;G-2Yr'!AF31)*100</f>
        <v>20.93040665385935</v>
      </c>
      <c r="Q36" s="10">
        <f>('State Appropriations-2Yr'!AF31/'Total E&amp;G-2Yr'!AF31)*100</f>
        <v>21.665803464740026</v>
      </c>
      <c r="R36" s="10">
        <f>IF((('Local Appropriations-2Yr'!AF31/'Total E&amp;G-2Yr'!AF31)*100)&gt;=0.005,('Local Appropriations-2Yr'!AF31/'Total E&amp;G-2Yr'!AF31)*100,"*")</f>
        <v>7.6899298271202552</v>
      </c>
      <c r="S36" s="10">
        <f>('Fed Contracts Grnts-2Yr'!AF31/'Total E&amp;G-2Yr'!AF31)*100</f>
        <v>35.827014876742794</v>
      </c>
      <c r="T36" s="10">
        <f>('Other Contracts Grnts-2Yr'!AF31/'Total E&amp;G-2Yr'!AF31)*100</f>
        <v>4.395602839037803</v>
      </c>
      <c r="U36" s="10">
        <f>IF(((('Investment Income-2Yr'!AF31+'All Other E&amp;G-2Yr'!AF31)/'Total E&amp;G-2Yr'!AF31)*100)&gt;=0.005,(('Investment Income-2Yr'!AF31+'All Other E&amp;G-2Yr'!AF31)/'Total E&amp;G-2Yr'!AF31)*100,"*")</f>
        <v>9.4912423384997702</v>
      </c>
      <c r="V36" s="10"/>
      <c r="W36" s="16">
        <f t="shared" si="1"/>
        <v>100</v>
      </c>
      <c r="X36" s="16">
        <f t="shared" si="2"/>
        <v>100</v>
      </c>
      <c r="Y36" s="1"/>
      <c r="Z36" s="109">
        <f t="shared" si="3"/>
        <v>29.355733291860282</v>
      </c>
      <c r="AA36" s="110">
        <f t="shared" si="14"/>
        <v>28.488570316279453</v>
      </c>
      <c r="AB36" s="109">
        <f t="shared" si="4"/>
        <v>40.222617715780601</v>
      </c>
      <c r="AC36" s="110">
        <f t="shared" si="5"/>
        <v>37.342405555169229</v>
      </c>
      <c r="AD36" s="109">
        <f t="shared" si="6"/>
        <v>100.00000000000001</v>
      </c>
      <c r="AE36" s="110">
        <f t="shared" si="7"/>
        <v>100</v>
      </c>
    </row>
    <row r="37" spans="1:31">
      <c r="A37" s="70" t="s">
        <v>45</v>
      </c>
      <c r="B37" s="70"/>
      <c r="C37" s="76">
        <f>('Tuition-2Yr'!AK32/'Total E&amp;G-2Yr'!AK32)*100</f>
        <v>37.957867654097313</v>
      </c>
      <c r="D37" s="83">
        <f>('State Appropriations-2Yr'!AK32)/('Total E&amp;G-2Yr'!AK32)*100</f>
        <v>39.827510932323491</v>
      </c>
      <c r="E37" s="76">
        <f>IF((('Local Appropriations-2Yr'!AK32/'Total E&amp;G-2Yr'!AK32)*100)=0,(('Local Appropriations-2Yr'!AK32/'Total E&amp;G-2Yr'!AK32)*100),IF((('Local Appropriations-2Yr'!AK32/'Total E&amp;G-2Yr'!AK32)*100)&gt;=0.005,('Local Appropriations-2Yr'!AK32/'Total E&amp;G-2Yr'!AK32)*100,"*"))</f>
        <v>0</v>
      </c>
      <c r="F37" s="83">
        <f>('Fed Contracts Grnts-2Yr'!AK32)/('Total E&amp;G-2Yr'!AK32)*100</f>
        <v>15.986290527810009</v>
      </c>
      <c r="G37" s="76">
        <f>('Other Contracts Grnts-2Yr'!AK32/'Total E&amp;G-2Yr'!AK32)*100</f>
        <v>2.9963788502440947</v>
      </c>
      <c r="H37" s="83">
        <f>('All Other E&amp;G-2Yr'!AK32+'Investment Income-2Yr'!AK32)/('Total E&amp;G-2Yr'!AK32)*100</f>
        <v>3.2319520355250901</v>
      </c>
      <c r="I37" s="83">
        <f t="shared" si="23"/>
        <v>8.7412845695494639</v>
      </c>
      <c r="J37" s="83">
        <f t="shared" si="24"/>
        <v>-1.6781437289115644</v>
      </c>
      <c r="K37" s="76">
        <f t="shared" si="25"/>
        <v>0</v>
      </c>
      <c r="L37" s="83">
        <f t="shared" si="26"/>
        <v>-7.1050223242275798</v>
      </c>
      <c r="M37" s="76">
        <f t="shared" si="27"/>
        <v>0.75157393238007097</v>
      </c>
      <c r="N37" s="83">
        <f t="shared" si="28"/>
        <v>-0.70969244879039461</v>
      </c>
      <c r="O37" s="23"/>
      <c r="P37" s="10">
        <f>('Tuition-2Yr'!AF32/'Total E&amp;G-2Yr'!AF32)*100</f>
        <v>29.21658308454785</v>
      </c>
      <c r="Q37" s="10">
        <f>('State Appropriations-2Yr'!AF32/'Total E&amp;G-2Yr'!AF32)*100</f>
        <v>41.505654661235056</v>
      </c>
      <c r="R37" s="10">
        <f>('Local Appropriations-2Yr'!AF32/'Total E&amp;G-2Yr'!AF32)*100</f>
        <v>0</v>
      </c>
      <c r="S37" s="10">
        <f>('Fed Contracts Grnts-2Yr'!AF32/'Total E&amp;G-2Yr'!AF32)*100</f>
        <v>23.091312852037589</v>
      </c>
      <c r="T37" s="10">
        <f>('Other Contracts Grnts-2Yr'!AF32/'Total E&amp;G-2Yr'!AF32)*100</f>
        <v>2.2448049178640237</v>
      </c>
      <c r="U37" s="10">
        <f>IF(((('Investment Income-2Yr'!AF32+'All Other E&amp;G-2Yr'!AF32)/'Total E&amp;G-2Yr'!AF32)*100)&gt;=0.005,(('Investment Income-2Yr'!AF32+'All Other E&amp;G-2Yr'!AF32)/'Total E&amp;G-2Yr'!AF32)*100,"*")</f>
        <v>3.9416444843154848</v>
      </c>
      <c r="V37" s="10"/>
      <c r="W37" s="16">
        <f t="shared" si="1"/>
        <v>100.00000000000001</v>
      </c>
      <c r="X37" s="16">
        <f t="shared" si="2"/>
        <v>100</v>
      </c>
      <c r="Y37" s="1"/>
      <c r="Z37" s="109">
        <f t="shared" si="3"/>
        <v>41.505654661235056</v>
      </c>
      <c r="AA37" s="110">
        <f t="shared" si="14"/>
        <v>39.827510932323491</v>
      </c>
      <c r="AB37" s="109">
        <f t="shared" si="4"/>
        <v>25.336117769901612</v>
      </c>
      <c r="AC37" s="110">
        <f t="shared" si="5"/>
        <v>18.982669378054105</v>
      </c>
      <c r="AD37" s="109">
        <f t="shared" si="6"/>
        <v>100</v>
      </c>
      <c r="AE37" s="110">
        <f t="shared" si="7"/>
        <v>100</v>
      </c>
    </row>
    <row r="38" spans="1:31">
      <c r="A38" s="71" t="s">
        <v>46</v>
      </c>
      <c r="B38" s="71"/>
      <c r="C38" s="77">
        <f>('Tuition-2Yr'!AK33/'Total E&amp;G-2Yr'!AK33)*100</f>
        <v>21.356564065248801</v>
      </c>
      <c r="D38" s="84">
        <f>('State Appropriations-2Yr'!AK33)/('Total E&amp;G-2Yr'!AK33)*100</f>
        <v>25.973009016159672</v>
      </c>
      <c r="E38" s="77">
        <f>IF((('Local Appropriations-2Yr'!AK33/'Total E&amp;G-2Yr'!AK33)*100)=0,(('Local Appropriations-2Yr'!AK33/'Total E&amp;G-2Yr'!AK33)*100),IF((('Local Appropriations-2Yr'!AK33/'Total E&amp;G-2Yr'!AK33)*100)&gt;=0.005,('Local Appropriations-2Yr'!AK33/'Total E&amp;G-2Yr'!AK33)*100,"*"))</f>
        <v>23.715794348163641</v>
      </c>
      <c r="F38" s="84">
        <f>('Fed Contracts Grnts-2Yr'!AK33)/('Total E&amp;G-2Yr'!AK33)*100</f>
        <v>18.299690638485988</v>
      </c>
      <c r="G38" s="77">
        <f>('Other Contracts Grnts-2Yr'!AK33/'Total E&amp;G-2Yr'!AK33)*100</f>
        <v>4.5857329780546685</v>
      </c>
      <c r="H38" s="84">
        <f>('All Other E&amp;G-2Yr'!AK33+'Investment Income-2Yr'!AK33)/('Total E&amp;G-2Yr'!AK33)*100</f>
        <v>6.0692089538872249</v>
      </c>
      <c r="I38" s="84">
        <f t="shared" si="23"/>
        <v>8.6610825393255482</v>
      </c>
      <c r="J38" s="84">
        <f t="shared" si="24"/>
        <v>0.9612647428985106</v>
      </c>
      <c r="K38" s="77">
        <f t="shared" si="25"/>
        <v>8.9651983640588711</v>
      </c>
      <c r="L38" s="84">
        <f t="shared" si="26"/>
        <v>-6.4583407300344255</v>
      </c>
      <c r="M38" s="77">
        <f t="shared" si="27"/>
        <v>-3.4227415199553732</v>
      </c>
      <c r="N38" s="84">
        <f t="shared" si="28"/>
        <v>-8.7064633962931364</v>
      </c>
      <c r="O38" s="23"/>
      <c r="P38" s="10">
        <f>('Tuition-2Yr'!AF33/'Total E&amp;G-2Yr'!AF33)*100</f>
        <v>12.695481525923253</v>
      </c>
      <c r="Q38" s="10">
        <f>('State Appropriations-2Yr'!AF33/'Total E&amp;G-2Yr'!AF33)*100</f>
        <v>25.011744273261161</v>
      </c>
      <c r="R38" s="10">
        <f>IF((('Local Appropriations-2Yr'!AF33/'Total E&amp;G-2Yr'!AF33)*100)&gt;=0.005,('Local Appropriations-2Yr'!AF33/'Total E&amp;G-2Yr'!AF33)*100,"*")</f>
        <v>14.75059598410477</v>
      </c>
      <c r="S38" s="10">
        <f>('Fed Contracts Grnts-2Yr'!AF33/'Total E&amp;G-2Yr'!AF33)*100</f>
        <v>24.758031368520413</v>
      </c>
      <c r="T38" s="10">
        <f>('Other Contracts Grnts-2Yr'!AF33/'Total E&amp;G-2Yr'!AF33)*100</f>
        <v>8.0084744980100417</v>
      </c>
      <c r="U38" s="10">
        <f>IF(((('Investment Income-2Yr'!AF33+'All Other E&amp;G-2Yr'!AF33)/'Total E&amp;G-2Yr'!AF33)*100)&gt;=0.005,(('Investment Income-2Yr'!AF33+'All Other E&amp;G-2Yr'!AF33)/'Total E&amp;G-2Yr'!AF33)*100,"*")</f>
        <v>14.775672350180361</v>
      </c>
      <c r="V38" s="10"/>
      <c r="W38" s="16">
        <f t="shared" si="1"/>
        <v>100</v>
      </c>
      <c r="X38" s="16">
        <f t="shared" si="2"/>
        <v>99.999999999999986</v>
      </c>
      <c r="Y38" s="1"/>
      <c r="Z38" s="109">
        <f t="shared" si="3"/>
        <v>39.762340257365935</v>
      </c>
      <c r="AA38" s="110">
        <f t="shared" si="14"/>
        <v>49.688803364323313</v>
      </c>
      <c r="AB38" s="109">
        <f t="shared" si="4"/>
        <v>32.766505866530451</v>
      </c>
      <c r="AC38" s="110">
        <f t="shared" si="5"/>
        <v>22.885423616540656</v>
      </c>
      <c r="AD38" s="109">
        <f t="shared" si="6"/>
        <v>100</v>
      </c>
      <c r="AE38" s="110">
        <f t="shared" si="7"/>
        <v>100</v>
      </c>
    </row>
    <row r="39" spans="1:31">
      <c r="A39" s="71" t="s">
        <v>47</v>
      </c>
      <c r="B39" s="71"/>
      <c r="C39" s="77">
        <f>('Tuition-2Yr'!AK34/'Total E&amp;G-2Yr'!AK34)*100</f>
        <v>34.339949995464245</v>
      </c>
      <c r="D39" s="84">
        <f>('State Appropriations-2Yr'!AK34)/('Total E&amp;G-2Yr'!AK34)*100</f>
        <v>16.987436259960596</v>
      </c>
      <c r="E39" s="77">
        <f>IF((('Local Appropriations-2Yr'!AK34/'Total E&amp;G-2Yr'!AK34)*100)=0,(('Local Appropriations-2Yr'!AK34/'Total E&amp;G-2Yr'!AK34)*100),IF((('Local Appropriations-2Yr'!AK34/'Total E&amp;G-2Yr'!AK34)*100)&gt;=0.005,('Local Appropriations-2Yr'!AK34/'Total E&amp;G-2Yr'!AK34)*100,"*"))</f>
        <v>21.702150781231857</v>
      </c>
      <c r="F39" s="84">
        <f>('Fed Contracts Grnts-2Yr'!AK34)/('Total E&amp;G-2Yr'!AK34)*100</f>
        <v>14.238142615463238</v>
      </c>
      <c r="G39" s="77">
        <f>('Other Contracts Grnts-2Yr'!AK34/'Total E&amp;G-2Yr'!AK34)*100</f>
        <v>6.8483460937117613</v>
      </c>
      <c r="H39" s="84">
        <f>('All Other E&amp;G-2Yr'!AK34+'Investment Income-2Yr'!AK34)/('Total E&amp;G-2Yr'!AK34)*100</f>
        <v>5.8839742541683151</v>
      </c>
      <c r="I39" s="84">
        <f t="shared" si="23"/>
        <v>7.9702934356592863</v>
      </c>
      <c r="J39" s="84">
        <f t="shared" si="24"/>
        <v>-3.8519387157085809</v>
      </c>
      <c r="K39" s="77">
        <f t="shared" si="25"/>
        <v>5.2292916187866645</v>
      </c>
      <c r="L39" s="84">
        <f t="shared" si="26"/>
        <v>-6.7383126130616535</v>
      </c>
      <c r="M39" s="77">
        <f t="shared" si="27"/>
        <v>1.8279257664391197</v>
      </c>
      <c r="N39" s="84">
        <f t="shared" si="28"/>
        <v>-4.4372594921148423</v>
      </c>
      <c r="O39" s="23"/>
      <c r="P39" s="10">
        <f>('Tuition-2Yr'!AF34/'Total E&amp;G-2Yr'!AF34)*100</f>
        <v>26.369656559804959</v>
      </c>
      <c r="Q39" s="10">
        <f>('State Appropriations-2Yr'!AF34/'Total E&amp;G-2Yr'!AF34)*100</f>
        <v>20.839374975669177</v>
      </c>
      <c r="R39" s="10">
        <f>IF((('Local Appropriations-2Yr'!AF34/'Total E&amp;G-2Yr'!AF34)*100)&gt;=0.005,('Local Appropriations-2Yr'!AF34/'Total E&amp;G-2Yr'!AF34)*100,"*")</f>
        <v>16.472859162445193</v>
      </c>
      <c r="S39" s="10">
        <f>('Fed Contracts Grnts-2Yr'!AF34/'Total E&amp;G-2Yr'!AF34)*100</f>
        <v>20.976455228524891</v>
      </c>
      <c r="T39" s="10">
        <f>('Other Contracts Grnts-2Yr'!AF34/'Total E&amp;G-2Yr'!AF34)*100</f>
        <v>5.0204203272726415</v>
      </c>
      <c r="U39" s="10">
        <f>IF(((('Investment Income-2Yr'!AF34+'All Other E&amp;G-2Yr'!AF34)/'Total E&amp;G-2Yr'!AF34)*100)&gt;=0.005,(('Investment Income-2Yr'!AF34+'All Other E&amp;G-2Yr'!AF34)/'Total E&amp;G-2Yr'!AF34)*100,"*")</f>
        <v>10.321233746283157</v>
      </c>
      <c r="V39" s="10"/>
      <c r="W39" s="16">
        <f t="shared" si="1"/>
        <v>100.00000000000001</v>
      </c>
      <c r="X39" s="16">
        <f t="shared" si="2"/>
        <v>100.00000000000003</v>
      </c>
      <c r="Y39" s="1"/>
      <c r="Z39" s="109">
        <f t="shared" si="3"/>
        <v>37.31223413811437</v>
      </c>
      <c r="AA39" s="110">
        <f t="shared" si="14"/>
        <v>38.689587041192453</v>
      </c>
      <c r="AB39" s="109">
        <f t="shared" si="4"/>
        <v>25.996875555797534</v>
      </c>
      <c r="AC39" s="110">
        <f t="shared" si="5"/>
        <v>21.086488709175001</v>
      </c>
      <c r="AD39" s="109">
        <f t="shared" si="6"/>
        <v>100.00000000000003</v>
      </c>
      <c r="AE39" s="110">
        <f t="shared" si="7"/>
        <v>100.00000000000003</v>
      </c>
    </row>
    <row r="40" spans="1:31">
      <c r="A40" s="71" t="s">
        <v>48</v>
      </c>
      <c r="B40" s="71"/>
      <c r="C40" s="77">
        <f>('Tuition-2Yr'!AK35/'Total E&amp;G-2Yr'!AK35)*100</f>
        <v>36.998938154964215</v>
      </c>
      <c r="D40" s="84">
        <f>('State Appropriations-2Yr'!AK35)/('Total E&amp;G-2Yr'!AK35)*100</f>
        <v>43.963982793312681</v>
      </c>
      <c r="E40" s="77">
        <f>IF((('Local Appropriations-2Yr'!AK35/'Total E&amp;G-2Yr'!AK35)*100)=0,(('Local Appropriations-2Yr'!AK35/'Total E&amp;G-2Yr'!AK35)*100),IF((('Local Appropriations-2Yr'!AK35/'Total E&amp;G-2Yr'!AK35)*100)&gt;=0.005,('Local Appropriations-2Yr'!AK35/'Total E&amp;G-2Yr'!AK35)*100,"*"))</f>
        <v>0</v>
      </c>
      <c r="F40" s="84">
        <f>('Fed Contracts Grnts-2Yr'!AK35)/('Total E&amp;G-2Yr'!AK35)*100</f>
        <v>12.706657698989723</v>
      </c>
      <c r="G40" s="77">
        <f>('Other Contracts Grnts-2Yr'!AK35/'Total E&amp;G-2Yr'!AK35)*100</f>
        <v>2.037449261347231</v>
      </c>
      <c r="H40" s="84">
        <f>('All Other E&amp;G-2Yr'!AK35+'Investment Income-2Yr'!AK35)/('Total E&amp;G-2Yr'!AK35)*100</f>
        <v>4.2929720913861589</v>
      </c>
      <c r="I40" s="84">
        <f t="shared" si="23"/>
        <v>-2.3349115683179207</v>
      </c>
      <c r="J40" s="84">
        <f t="shared" si="24"/>
        <v>8.8585402061662961</v>
      </c>
      <c r="K40" s="77">
        <f t="shared" si="25"/>
        <v>0</v>
      </c>
      <c r="L40" s="84">
        <f t="shared" si="26"/>
        <v>-8.0559899859113422</v>
      </c>
      <c r="M40" s="77">
        <f t="shared" si="27"/>
        <v>-0.24327101673213214</v>
      </c>
      <c r="N40" s="84">
        <f t="shared" si="28"/>
        <v>1.7756323647950953</v>
      </c>
      <c r="O40" s="23"/>
      <c r="P40" s="10">
        <f>('Tuition-2Yr'!AF35/'Total E&amp;G-2Yr'!AF35)*100</f>
        <v>39.333849723282135</v>
      </c>
      <c r="Q40" s="10">
        <f>('State Appropriations-2Yr'!AF35/'Total E&amp;G-2Yr'!AF35)*100</f>
        <v>35.105442587146385</v>
      </c>
      <c r="R40" s="10" t="str">
        <f>IF((('Local Appropriations-2Yr'!AF35/'Total E&amp;G-2Yr'!AF35)*100)&gt;=0.005,('Local Appropriations-2Yr'!AF35/'Total E&amp;G-2Yr'!AF35)*100,"*")</f>
        <v>*</v>
      </c>
      <c r="S40" s="10">
        <f>('Fed Contracts Grnts-2Yr'!AF35/'Total E&amp;G-2Yr'!AF35)*100</f>
        <v>20.762647684901065</v>
      </c>
      <c r="T40" s="10">
        <f>('Other Contracts Grnts-2Yr'!AF35/'Total E&amp;G-2Yr'!AF35)*100</f>
        <v>2.2807202780793632</v>
      </c>
      <c r="U40" s="10">
        <f>IF(((('Investment Income-2Yr'!AF35+'All Other E&amp;G-2Yr'!AF35)/'Total E&amp;G-2Yr'!AF35)*100)&gt;=0.005,(('Investment Income-2Yr'!AF35+'All Other E&amp;G-2Yr'!AF35)/'Total E&amp;G-2Yr'!AF35)*100,"*")</f>
        <v>2.5173397265910635</v>
      </c>
      <c r="V40" s="10"/>
      <c r="W40" s="16">
        <f t="shared" si="1"/>
        <v>100.00000000000001</v>
      </c>
      <c r="X40" s="16">
        <f t="shared" si="2"/>
        <v>100</v>
      </c>
      <c r="Y40" s="1"/>
      <c r="Z40" s="109">
        <f t="shared" si="3"/>
        <v>35.105442587146385</v>
      </c>
      <c r="AA40" s="110">
        <f t="shared" si="14"/>
        <v>43.963982793312681</v>
      </c>
      <c r="AB40" s="109">
        <f t="shared" si="4"/>
        <v>23.04336796298043</v>
      </c>
      <c r="AC40" s="110">
        <f t="shared" si="5"/>
        <v>14.744106960336953</v>
      </c>
      <c r="AD40" s="109">
        <f t="shared" si="6"/>
        <v>100</v>
      </c>
      <c r="AE40" s="110">
        <f t="shared" si="7"/>
        <v>100</v>
      </c>
    </row>
    <row r="41" spans="1:31">
      <c r="A41" s="71" t="s">
        <v>49</v>
      </c>
      <c r="B41" s="71"/>
      <c r="C41" s="77">
        <f>('Tuition-2Yr'!AK36/'Total E&amp;G-2Yr'!AK36)*100</f>
        <v>36.13552376973783</v>
      </c>
      <c r="D41" s="84">
        <f>('State Appropriations-2Yr'!AK36)/('Total E&amp;G-2Yr'!AK36)*100</f>
        <v>29.672992839055372</v>
      </c>
      <c r="E41" s="77">
        <f>IF((('Local Appropriations-2Yr'!AK36/'Total E&amp;G-2Yr'!AK36)*100)=0,(('Local Appropriations-2Yr'!AK36/'Total E&amp;G-2Yr'!AK36)*100),IF((('Local Appropriations-2Yr'!AK36/'Total E&amp;G-2Yr'!AK36)*100)&gt;=0.005,('Local Appropriations-2Yr'!AK36/'Total E&amp;G-2Yr'!AK36)*100,"*"))</f>
        <v>0</v>
      </c>
      <c r="F41" s="84">
        <f>('Fed Contracts Grnts-2Yr'!AK36)/('Total E&amp;G-2Yr'!AK36)*100</f>
        <v>11.609881311346154</v>
      </c>
      <c r="G41" s="77">
        <f>('Other Contracts Grnts-2Yr'!AK36/'Total E&amp;G-2Yr'!AK36)*100</f>
        <v>18.77337886887754</v>
      </c>
      <c r="H41" s="84">
        <f>('All Other E&amp;G-2Yr'!AK36+'Investment Income-2Yr'!AK36)/('Total E&amp;G-2Yr'!AK36)*100</f>
        <v>3.8082232109830985</v>
      </c>
      <c r="I41" s="84">
        <f t="shared" si="23"/>
        <v>4.5598722935888212</v>
      </c>
      <c r="J41" s="84">
        <f t="shared" si="24"/>
        <v>0.66222077467351426</v>
      </c>
      <c r="K41" s="77">
        <f t="shared" si="25"/>
        <v>0</v>
      </c>
      <c r="L41" s="84">
        <f t="shared" si="26"/>
        <v>-4.9980627361006675</v>
      </c>
      <c r="M41" s="77">
        <f t="shared" si="27"/>
        <v>-0.35953559570695859</v>
      </c>
      <c r="N41" s="84">
        <f t="shared" si="28"/>
        <v>0.13550526354527737</v>
      </c>
      <c r="O41" s="23"/>
      <c r="P41" s="10">
        <f>('Tuition-2Yr'!AF36/'Total E&amp;G-2Yr'!AF36)*100</f>
        <v>31.575651476149009</v>
      </c>
      <c r="Q41" s="10">
        <f>('State Appropriations-2Yr'!AF36/'Total E&amp;G-2Yr'!AF36)*100</f>
        <v>29.010772064381857</v>
      </c>
      <c r="R41" s="10" t="str">
        <f>IF((('Local Appropriations-2Yr'!AF36/'Total E&amp;G-2Yr'!AF36)*100)&gt;=0.005,('Local Appropriations-2Yr'!AF36/'Total E&amp;G-2Yr'!AF36)*100,"*")</f>
        <v>*</v>
      </c>
      <c r="S41" s="10">
        <f>('Fed Contracts Grnts-2Yr'!AF36/'Total E&amp;G-2Yr'!AF36)*100</f>
        <v>16.607944047446821</v>
      </c>
      <c r="T41" s="10">
        <f>('Other Contracts Grnts-2Yr'!AF36/'Total E&amp;G-2Yr'!AF36)*100</f>
        <v>19.132914464584498</v>
      </c>
      <c r="U41" s="10">
        <f>IF(((('Investment Income-2Yr'!AF36+'All Other E&amp;G-2Yr'!AF36)/'Total E&amp;G-2Yr'!AF36)*100)&gt;=0.005,(('Investment Income-2Yr'!AF36+'All Other E&amp;G-2Yr'!AF36)/'Total E&amp;G-2Yr'!AF36)*100,"*")</f>
        <v>3.6727179474378211</v>
      </c>
      <c r="V41" s="10"/>
      <c r="W41" s="16">
        <f t="shared" si="1"/>
        <v>100.00000000000001</v>
      </c>
      <c r="X41" s="16">
        <f t="shared" si="2"/>
        <v>100</v>
      </c>
      <c r="Y41" s="1"/>
      <c r="Z41" s="109">
        <f t="shared" si="3"/>
        <v>29.010772064381857</v>
      </c>
      <c r="AA41" s="110">
        <f t="shared" si="14"/>
        <v>29.672992839055372</v>
      </c>
      <c r="AB41" s="109">
        <f t="shared" si="4"/>
        <v>35.740858512031323</v>
      </c>
      <c r="AC41" s="110">
        <f t="shared" si="5"/>
        <v>30.383260180223694</v>
      </c>
      <c r="AD41" s="109">
        <f t="shared" si="6"/>
        <v>100</v>
      </c>
      <c r="AE41" s="110">
        <f t="shared" si="7"/>
        <v>100</v>
      </c>
    </row>
    <row r="42" spans="1:31">
      <c r="A42" s="72" t="s">
        <v>50</v>
      </c>
      <c r="B42" s="72"/>
      <c r="C42" s="116">
        <f>('Tuition-2Yr'!AK37/'Total E&amp;G-2Yr'!AK37)*100</f>
        <v>23.471066050274413</v>
      </c>
      <c r="D42" s="85">
        <f>('State Appropriations-2Yr'!AK37)/('Total E&amp;G-2Yr'!AK37)*100</f>
        <v>37.362472491051349</v>
      </c>
      <c r="E42" s="116">
        <f>IF((('Local Appropriations-2Yr'!AK37/'Total E&amp;G-2Yr'!AK37)*100)=0,(('Local Appropriations-2Yr'!AK37/'Total E&amp;G-2Yr'!AK37)*100),IF((('Local Appropriations-2Yr'!AK37/'Total E&amp;G-2Yr'!AK37)*100)&gt;=0.005,('Local Appropriations-2Yr'!AK37/'Total E&amp;G-2Yr'!AK37)*100,"*"))</f>
        <v>15.548174715879718</v>
      </c>
      <c r="F42" s="85">
        <f>('Fed Contracts Grnts-2Yr'!AK37)/('Total E&amp;G-2Yr'!AK37)*100</f>
        <v>10.585114170607785</v>
      </c>
      <c r="G42" s="116">
        <f>('Other Contracts Grnts-2Yr'!AK37/'Total E&amp;G-2Yr'!AK37)*100</f>
        <v>9.2530130781008975</v>
      </c>
      <c r="H42" s="118">
        <f>('All Other E&amp;G-2Yr'!AK37+'Investment Income-2Yr'!AK37)/('Total E&amp;G-2Yr'!AK37)*100</f>
        <v>3.7801594940858614</v>
      </c>
      <c r="I42" s="85">
        <f t="shared" si="23"/>
        <v>7.117350776184626</v>
      </c>
      <c r="J42" s="85">
        <f t="shared" si="24"/>
        <v>-1.1406013405445634</v>
      </c>
      <c r="K42" s="79">
        <f t="shared" si="25"/>
        <v>-0.84960081702068635</v>
      </c>
      <c r="L42" s="85">
        <f t="shared" si="26"/>
        <v>-0.61845930252843928</v>
      </c>
      <c r="M42" s="79">
        <f t="shared" si="27"/>
        <v>-0.47549428455310938</v>
      </c>
      <c r="N42" s="85">
        <f t="shared" si="28"/>
        <v>-4.033195031537792</v>
      </c>
      <c r="O42" s="23"/>
      <c r="P42" s="10">
        <f>('Tuition-2Yr'!AF37/'Total E&amp;G-2Yr'!AF37)*100</f>
        <v>16.353715274089787</v>
      </c>
      <c r="Q42" s="10">
        <f>('State Appropriations-2Yr'!AF37/'Total E&amp;G-2Yr'!AF37)*100</f>
        <v>38.503073831595913</v>
      </c>
      <c r="R42" s="10">
        <f>IF((('Local Appropriations-2Yr'!AF37/'Total E&amp;G-2Yr'!AF37)*100)&gt;=0.005,('Local Appropriations-2Yr'!AF37/'Total E&amp;G-2Yr'!AF37)*100,"*")</f>
        <v>16.397775532900404</v>
      </c>
      <c r="S42" s="10">
        <f>('Fed Contracts Grnts-2Yr'!AF37/'Total E&amp;G-2Yr'!AF37)*100</f>
        <v>11.203573473136224</v>
      </c>
      <c r="T42" s="10">
        <f>('Other Contracts Grnts-2Yr'!AF37/'Total E&amp;G-2Yr'!AF37)*100</f>
        <v>9.7285073626540068</v>
      </c>
      <c r="U42" s="10">
        <f>IF(((('Investment Income-2Yr'!AF37+'All Other E&amp;G-2Yr'!AF37)/'Total E&amp;G-2Yr'!AF37)*100)&gt;=0.005,(('Investment Income-2Yr'!AF37+'All Other E&amp;G-2Yr'!AF37)/'Total E&amp;G-2Yr'!AF37)*100,"*")</f>
        <v>7.8133545256236534</v>
      </c>
      <c r="V42" s="10"/>
      <c r="W42" s="16">
        <f t="shared" si="1"/>
        <v>99.999999999999972</v>
      </c>
      <c r="X42" s="16">
        <f t="shared" si="2"/>
        <v>100.00000000000003</v>
      </c>
      <c r="Y42" s="1"/>
      <c r="Z42" s="109">
        <f t="shared" si="3"/>
        <v>54.900849364496317</v>
      </c>
      <c r="AA42" s="110">
        <f t="shared" si="14"/>
        <v>52.910647206931067</v>
      </c>
      <c r="AB42" s="109">
        <f t="shared" si="4"/>
        <v>20.932080835790231</v>
      </c>
      <c r="AC42" s="110">
        <f t="shared" si="5"/>
        <v>19.83812724870868</v>
      </c>
      <c r="AD42" s="109">
        <f t="shared" si="6"/>
        <v>99.999999999999972</v>
      </c>
      <c r="AE42" s="110">
        <f t="shared" si="7"/>
        <v>100.00000000000003</v>
      </c>
    </row>
    <row r="43" spans="1:31">
      <c r="A43" s="70" t="s">
        <v>51</v>
      </c>
      <c r="B43" s="70"/>
      <c r="C43" s="76">
        <f>('Tuition-2Yr'!AK38/'Total E&amp;G-2Yr'!AK38)*100</f>
        <v>30.976880428618468</v>
      </c>
      <c r="D43" s="83">
        <f>('State Appropriations-2Yr'!AK38)/('Total E&amp;G-2Yr'!AK38)*100</f>
        <v>22.727817350977674</v>
      </c>
      <c r="E43" s="76">
        <f>IF((('Local Appropriations-2Yr'!AK38/'Total E&amp;G-2Yr'!AK38)*100)=0,(('Local Appropriations-2Yr'!AK38/'Total E&amp;G-2Yr'!AK38)*100),IF((('Local Appropriations-2Yr'!AK38/'Total E&amp;G-2Yr'!AK38)*100)&gt;=0.005,('Local Appropriations-2Yr'!AK38/'Total E&amp;G-2Yr'!AK38)*100,"*"))</f>
        <v>20.590434260899464</v>
      </c>
      <c r="F43" s="83">
        <f>('Fed Contracts Grnts-2Yr'!AK38)/('Total E&amp;G-2Yr'!AK38)*100</f>
        <v>13.696513284913081</v>
      </c>
      <c r="G43" s="76">
        <f>('Other Contracts Grnts-2Yr'!AK38/'Total E&amp;G-2Yr'!AK38)*100</f>
        <v>7.2849598802506312</v>
      </c>
      <c r="H43" s="83">
        <f>('All Other E&amp;G-2Yr'!AK38+'Investment Income-2Yr'!AK38)/('Total E&amp;G-2Yr'!AK38)*100</f>
        <v>4.7233947943406882</v>
      </c>
      <c r="I43" s="83">
        <f t="shared" si="23"/>
        <v>-0.66892999949716625</v>
      </c>
      <c r="J43" s="83">
        <f t="shared" si="24"/>
        <v>2.1471705383267974</v>
      </c>
      <c r="K43" s="76">
        <f t="shared" si="25"/>
        <v>3.0768095871598291</v>
      </c>
      <c r="L43" s="83">
        <f t="shared" si="26"/>
        <v>-7.7246217923974214</v>
      </c>
      <c r="M43" s="76">
        <f t="shared" si="27"/>
        <v>1.7733070787035796</v>
      </c>
      <c r="N43" s="83">
        <f t="shared" si="28"/>
        <v>1.3962645877043949</v>
      </c>
      <c r="O43" s="23"/>
      <c r="P43" s="10">
        <f>('Tuition-2Yr'!AF38/'Total E&amp;G-2Yr'!AF38)*100</f>
        <v>31.645810428115634</v>
      </c>
      <c r="Q43" s="10">
        <f>('State Appropriations-2Yr'!AF38/'Total E&amp;G-2Yr'!AF38)*100</f>
        <v>20.580646812650876</v>
      </c>
      <c r="R43" s="10">
        <f>IF((('Local Appropriations-2Yr'!AF38/'Total E&amp;G-2Yr'!AF38)*100)&gt;=0.005,('Local Appropriations-2Yr'!AF38/'Total E&amp;G-2Yr'!AF38)*100,"*")</f>
        <v>17.513624673739635</v>
      </c>
      <c r="S43" s="10">
        <f>('Fed Contracts Grnts-2Yr'!AF38/'Total E&amp;G-2Yr'!AF38)*100</f>
        <v>21.421135077310502</v>
      </c>
      <c r="T43" s="10">
        <f>('Other Contracts Grnts-2Yr'!AF38/'Total E&amp;G-2Yr'!AF38)*100</f>
        <v>5.5116528015470516</v>
      </c>
      <c r="U43" s="10">
        <f>IF(((('Investment Income-2Yr'!AF38+'All Other E&amp;G-2Yr'!AF38)/'Total E&amp;G-2Yr'!AF38)*100)&gt;=0.005,(('Investment Income-2Yr'!AF38+'All Other E&amp;G-2Yr'!AF38)/'Total E&amp;G-2Yr'!AF38)*100,"*")</f>
        <v>3.3271302066362933</v>
      </c>
      <c r="V43" s="10"/>
      <c r="W43" s="16">
        <f t="shared" si="1"/>
        <v>100</v>
      </c>
      <c r="X43" s="16">
        <f t="shared" si="2"/>
        <v>100.00000000000001</v>
      </c>
      <c r="Y43" s="1"/>
      <c r="Z43" s="109">
        <f t="shared" si="3"/>
        <v>38.094271486390511</v>
      </c>
      <c r="AA43" s="110">
        <f t="shared" si="14"/>
        <v>43.318251611877137</v>
      </c>
      <c r="AB43" s="109">
        <f t="shared" si="4"/>
        <v>26.932787878857553</v>
      </c>
      <c r="AC43" s="110">
        <f t="shared" si="5"/>
        <v>20.981473165163713</v>
      </c>
      <c r="AD43" s="109">
        <f t="shared" si="6"/>
        <v>100</v>
      </c>
      <c r="AE43" s="110">
        <f t="shared" si="7"/>
        <v>100.00000000000001</v>
      </c>
    </row>
    <row r="44" spans="1:31">
      <c r="A44" s="70"/>
      <c r="B44" s="70"/>
      <c r="C44" s="76"/>
      <c r="D44" s="83"/>
      <c r="E44" s="76"/>
      <c r="F44" s="83"/>
      <c r="G44" s="76"/>
      <c r="H44" s="83"/>
      <c r="I44" s="83"/>
      <c r="J44" s="83"/>
      <c r="K44" s="76"/>
      <c r="L44" s="83"/>
      <c r="M44" s="76"/>
      <c r="N44" s="83"/>
      <c r="O44" s="23"/>
      <c r="P44" s="10"/>
      <c r="Q44" s="10"/>
      <c r="R44" s="10"/>
      <c r="S44" s="10"/>
      <c r="T44" s="10"/>
      <c r="U44" s="10"/>
      <c r="V44" s="10"/>
      <c r="W44" s="16"/>
      <c r="X44" s="16"/>
      <c r="Y44" s="1"/>
      <c r="Z44" s="109"/>
      <c r="AA44" s="110"/>
      <c r="AB44" s="109"/>
      <c r="AC44" s="110"/>
      <c r="AD44" s="109"/>
      <c r="AE44" s="110"/>
    </row>
    <row r="45" spans="1:31">
      <c r="A45" s="71" t="s">
        <v>52</v>
      </c>
      <c r="B45" s="71"/>
      <c r="C45" s="77">
        <f>('Tuition-2Yr'!AK40/'Total E&amp;G-2Yr'!AK40)*100</f>
        <v>25.439713130922893</v>
      </c>
      <c r="D45" s="84">
        <f>('State Appropriations-2Yr'!AK40)/('Total E&amp;G-2Yr'!AK40)*100</f>
        <v>14.602926600398561</v>
      </c>
      <c r="E45" s="77">
        <f>IF((('Local Appropriations-2Yr'!AK40/'Total E&amp;G-2Yr'!AK40)*100)=0,(('Local Appropriations-2Yr'!AK40/'Total E&amp;G-2Yr'!AK40)*100),IF((('Local Appropriations-2Yr'!AK40/'Total E&amp;G-2Yr'!AK40)*100)&gt;=0.005,('Local Appropriations-2Yr'!AK40/'Total E&amp;G-2Yr'!AK40)*100,"*"))</f>
        <v>29.228492880436612</v>
      </c>
      <c r="F45" s="84">
        <f>('Fed Contracts Grnts-2Yr'!AK40)/('Total E&amp;G-2Yr'!AK40)*100</f>
        <v>10.835209149444911</v>
      </c>
      <c r="G45" s="77">
        <f>('Other Contracts Grnts-2Yr'!AK40/'Total E&amp;G-2Yr'!AK40)*100</f>
        <v>15.63714935517141</v>
      </c>
      <c r="H45" s="84">
        <f>('All Other E&amp;G-2Yr'!AK40+'Investment Income-2Yr'!AK40)/('Total E&amp;G-2Yr'!AK40)*100</f>
        <v>4.2565088836256022</v>
      </c>
      <c r="I45" s="84">
        <f t="shared" ref="I45:I57" si="29">IF((C45-P45)=0,(C45-P45),IF((C45-P45)&gt;=0.005,(C45-P45),IF((C45-P45&lt;=-0.005),(C45-P45),"*")))</f>
        <v>-1.6785186928931992</v>
      </c>
      <c r="J45" s="84">
        <f t="shared" ref="J45:J57" si="30">IF((D45-Q45)=0,(D45-Q45),IF((D45-Q45)&gt;=0.005,(D45-Q45),IF((D45-Q45&lt;=-0.005),(D45-Q45),"*")))</f>
        <v>1.9055381449839093</v>
      </c>
      <c r="K45" s="77">
        <f t="shared" ref="K45:K57" si="31">IF((E45-R45)=0,(E45-R45),IF((E45-R45)&gt;=0.005,(E45-R45),IF((E45-R45&lt;=-0.005),(E45-R45),"*")))</f>
        <v>0.69226974457235357</v>
      </c>
      <c r="L45" s="84">
        <f t="shared" ref="L45:L57" si="32">IF((F45-S45)=0,(F45-S45),IF((F45-S45)&gt;=0.005,(F45-S45),IF((F45-S45&lt;=-0.005),(F45-S45),"*")))</f>
        <v>-5.566488693007507</v>
      </c>
      <c r="M45" s="77">
        <f t="shared" ref="M45:M57" si="33">IF((G45-T45)=0,(G45-T45),IF((G45-T45)&gt;=0.005,(G45-T45),IF((G45-T45&lt;=-0.005),(G45-T45),"*")))</f>
        <v>3.6408778633044978</v>
      </c>
      <c r="N45" s="84">
        <f t="shared" ref="N45:N57" si="34">IF((H45-U45)=0,(H45-U45),IF((H45-U45)&gt;=0.005,(H45-U45),IF((H45-U45&lt;=-0.005),(H45-U45),"*")))</f>
        <v>1.0063216330399296</v>
      </c>
      <c r="O45" s="23"/>
      <c r="P45" s="10">
        <f>('Tuition-2Yr'!AF40/'Total E&amp;G-2Yr'!AF40)*100</f>
        <v>27.118231823816092</v>
      </c>
      <c r="Q45" s="10">
        <f>('State Appropriations-2Yr'!AF40/'Total E&amp;G-2Yr'!AF40)*100</f>
        <v>12.697388455414652</v>
      </c>
      <c r="R45" s="10">
        <f>IF((('Local Appropriations-2Yr'!AF40/'Total E&amp;G-2Yr'!AF40)*100)&gt;=0.005,('Local Appropriations-2Yr'!AF40/'Total E&amp;G-2Yr'!AF40)*100,"*")</f>
        <v>28.536223135864258</v>
      </c>
      <c r="S45" s="10">
        <f>('Fed Contracts Grnts-2Yr'!AF40/'Total E&amp;G-2Yr'!AF40)*100</f>
        <v>16.401697842452418</v>
      </c>
      <c r="T45" s="10">
        <f>('Other Contracts Grnts-2Yr'!AF40/'Total E&amp;G-2Yr'!AF40)*100</f>
        <v>11.996271491866912</v>
      </c>
      <c r="U45" s="10">
        <f>IF(((('Investment Income-2Yr'!AF40+'All Other E&amp;G-2Yr'!AF40)/'Total E&amp;G-2Yr'!AF40)*100)&gt;=0.005,(('Investment Income-2Yr'!AF40+'All Other E&amp;G-2Yr'!AF40)/'Total E&amp;G-2Yr'!AF40)*100,"*")</f>
        <v>3.2501872505856726</v>
      </c>
      <c r="V45" s="10"/>
      <c r="W45" s="16">
        <f t="shared" si="1"/>
        <v>100</v>
      </c>
      <c r="X45" s="16">
        <f t="shared" si="2"/>
        <v>100</v>
      </c>
      <c r="Y45" s="1"/>
      <c r="Z45" s="109">
        <f t="shared" si="3"/>
        <v>41.233611591278908</v>
      </c>
      <c r="AA45" s="110">
        <f t="shared" si="14"/>
        <v>43.831419480835173</v>
      </c>
      <c r="AB45" s="109">
        <f t="shared" si="4"/>
        <v>28.397969334319328</v>
      </c>
      <c r="AC45" s="110">
        <f t="shared" si="5"/>
        <v>26.47235850461632</v>
      </c>
      <c r="AD45" s="109">
        <f t="shared" si="6"/>
        <v>99.999999999999986</v>
      </c>
      <c r="AE45" s="110">
        <f t="shared" si="7"/>
        <v>99.999999999999986</v>
      </c>
    </row>
    <row r="46" spans="1:31">
      <c r="A46" s="71" t="s">
        <v>53</v>
      </c>
      <c r="B46" s="71"/>
      <c r="C46" s="77">
        <f>('Tuition-2Yr'!AK41/'Total E&amp;G-2Yr'!AK41)*100</f>
        <v>36.490540708621467</v>
      </c>
      <c r="D46" s="84">
        <f>('State Appropriations-2Yr'!AK41)/('Total E&amp;G-2Yr'!AK41)*100</f>
        <v>36.164709032866845</v>
      </c>
      <c r="E46" s="77">
        <f>IF((('Local Appropriations-2Yr'!AK41/'Total E&amp;G-2Yr'!AK41)*100)=0,(('Local Appropriations-2Yr'!AK41/'Total E&amp;G-2Yr'!AK41)*100),IF((('Local Appropriations-2Yr'!AK41/'Total E&amp;G-2Yr'!AK41)*100)&gt;=0.005,('Local Appropriations-2Yr'!AK41/'Total E&amp;G-2Yr'!AK41)*100,"*"))</f>
        <v>0</v>
      </c>
      <c r="F46" s="84">
        <f>('Fed Contracts Grnts-2Yr'!AK41)/('Total E&amp;G-2Yr'!AK41)*100</f>
        <v>14.768112818638397</v>
      </c>
      <c r="G46" s="77">
        <f>('Other Contracts Grnts-2Yr'!AK41/'Total E&amp;G-2Yr'!AK41)*100</f>
        <v>7.6120061577430125</v>
      </c>
      <c r="H46" s="84">
        <f>('All Other E&amp;G-2Yr'!AK41+'Investment Income-2Yr'!AK41)/('Total E&amp;G-2Yr'!AK41)*100</f>
        <v>4.9646312821302878</v>
      </c>
      <c r="I46" s="84">
        <f t="shared" si="29"/>
        <v>3.9626426868899998</v>
      </c>
      <c r="J46" s="84">
        <f t="shared" si="30"/>
        <v>4.335414324101265</v>
      </c>
      <c r="K46" s="77">
        <f t="shared" si="31"/>
        <v>0</v>
      </c>
      <c r="L46" s="84">
        <f t="shared" si="32"/>
        <v>-11.102197585205186</v>
      </c>
      <c r="M46" s="77">
        <f t="shared" si="33"/>
        <v>-0.83077083322096001</v>
      </c>
      <c r="N46" s="84">
        <f t="shared" si="34"/>
        <v>3.6349114074348998</v>
      </c>
      <c r="O46" s="23"/>
      <c r="P46" s="10">
        <f>('Tuition-2Yr'!AF41/'Total E&amp;G-2Yr'!AF41)*100</f>
        <v>32.527898021731467</v>
      </c>
      <c r="Q46" s="10">
        <f>('State Appropriations-2Yr'!AF41/'Total E&amp;G-2Yr'!AF41)*100</f>
        <v>31.82929470876558</v>
      </c>
      <c r="R46" s="10" t="str">
        <f>IF((('Local Appropriations-2Yr'!AF41/'Total E&amp;G-2Yr'!AF41)*100)&gt;=0.005,('Local Appropriations-2Yr'!AF41/'Total E&amp;G-2Yr'!AF41)*100,"*")</f>
        <v>*</v>
      </c>
      <c r="S46" s="10">
        <f>('Fed Contracts Grnts-2Yr'!AF41/'Total E&amp;G-2Yr'!AF41)*100</f>
        <v>25.870310403843582</v>
      </c>
      <c r="T46" s="10">
        <f>('Other Contracts Grnts-2Yr'!AF41/'Total E&amp;G-2Yr'!AF41)*100</f>
        <v>8.4427769909639725</v>
      </c>
      <c r="U46" s="10">
        <f>IF(((('Investment Income-2Yr'!AF41+'All Other E&amp;G-2Yr'!AF41)/'Total E&amp;G-2Yr'!AF41)*100)&gt;=0.005,(('Investment Income-2Yr'!AF41+'All Other E&amp;G-2Yr'!AF41)/'Total E&amp;G-2Yr'!AF41)*100,"*")</f>
        <v>1.3297198746953878</v>
      </c>
      <c r="V46" s="10"/>
      <c r="W46" s="16">
        <f t="shared" si="1"/>
        <v>99.999999999999986</v>
      </c>
      <c r="X46" s="16">
        <f t="shared" si="2"/>
        <v>100.00000000000001</v>
      </c>
      <c r="Y46" s="1"/>
      <c r="Z46" s="109">
        <f t="shared" si="3"/>
        <v>31.82929470876558</v>
      </c>
      <c r="AA46" s="110">
        <f t="shared" si="14"/>
        <v>36.164709032866845</v>
      </c>
      <c r="AB46" s="109">
        <f t="shared" si="4"/>
        <v>34.313087394807553</v>
      </c>
      <c r="AC46" s="110">
        <f t="shared" si="5"/>
        <v>22.380118976381411</v>
      </c>
      <c r="AD46" s="109">
        <f t="shared" si="6"/>
        <v>100</v>
      </c>
      <c r="AE46" s="110">
        <f t="shared" si="7"/>
        <v>100.00000000000001</v>
      </c>
    </row>
    <row r="47" spans="1:31">
      <c r="A47" s="71" t="s">
        <v>54</v>
      </c>
      <c r="B47" s="71"/>
      <c r="C47" s="77">
        <f>('Tuition-2Yr'!AK42/'Total E&amp;G-2Yr'!AK42)*100</f>
        <v>31.810776499368803</v>
      </c>
      <c r="D47" s="84">
        <f>('State Appropriations-2Yr'!AK42)/('Total E&amp;G-2Yr'!AK42)*100</f>
        <v>23.608838848136411</v>
      </c>
      <c r="E47" s="77">
        <f>IF((('Local Appropriations-2Yr'!AK42/'Total E&amp;G-2Yr'!AK42)*100)=0,(('Local Appropriations-2Yr'!AK42/'Total E&amp;G-2Yr'!AK42)*100),IF((('Local Appropriations-2Yr'!AK42/'Total E&amp;G-2Yr'!AK42)*100)&gt;=0.005,('Local Appropriations-2Yr'!AK42/'Total E&amp;G-2Yr'!AK42)*100,"*"))</f>
        <v>15.093272398954753</v>
      </c>
      <c r="F47" s="84">
        <f>('Fed Contracts Grnts-2Yr'!AK42)/('Total E&amp;G-2Yr'!AK42)*100</f>
        <v>13.247776020210553</v>
      </c>
      <c r="G47" s="77">
        <f>('Other Contracts Grnts-2Yr'!AK42/'Total E&amp;G-2Yr'!AK42)*100</f>
        <v>4.9148240079253895</v>
      </c>
      <c r="H47" s="84">
        <f>('All Other E&amp;G-2Yr'!AK42+'Investment Income-2Yr'!AK42)/('Total E&amp;G-2Yr'!AK42)*100</f>
        <v>11.324512225404087</v>
      </c>
      <c r="I47" s="84">
        <f t="shared" si="29"/>
        <v>1.9069139369902608</v>
      </c>
      <c r="J47" s="84">
        <f t="shared" si="30"/>
        <v>-1.1347730426358069</v>
      </c>
      <c r="K47" s="77">
        <f t="shared" si="31"/>
        <v>1.9224967824854957</v>
      </c>
      <c r="L47" s="84">
        <f t="shared" si="32"/>
        <v>-6.809830242870424</v>
      </c>
      <c r="M47" s="150">
        <f t="shared" si="33"/>
        <v>2.5643535873673073E-2</v>
      </c>
      <c r="N47" s="84">
        <f t="shared" si="34"/>
        <v>4.0895490301568129</v>
      </c>
      <c r="O47" s="23"/>
      <c r="P47" s="10">
        <f>('Tuition-2Yr'!AF42/'Total E&amp;G-2Yr'!AF42)*100</f>
        <v>29.903862562378542</v>
      </c>
      <c r="Q47" s="10">
        <f>('State Appropriations-2Yr'!AF42/'Total E&amp;G-2Yr'!AF42)*100</f>
        <v>24.743611890772218</v>
      </c>
      <c r="R47" s="10">
        <f>IF((('Local Appropriations-2Yr'!AF42/'Total E&amp;G-2Yr'!AF42)*100)&gt;=0.005,('Local Appropriations-2Yr'!AF42/'Total E&amp;G-2Yr'!AF42)*100,"*")</f>
        <v>13.170775616469257</v>
      </c>
      <c r="S47" s="10">
        <f>('Fed Contracts Grnts-2Yr'!AF42/'Total E&amp;G-2Yr'!AF42)*100</f>
        <v>20.057606263080977</v>
      </c>
      <c r="T47" s="10">
        <f>('Other Contracts Grnts-2Yr'!AF42/'Total E&amp;G-2Yr'!AF42)*100</f>
        <v>4.8891804720517165</v>
      </c>
      <c r="U47" s="10">
        <f>IF(((('Investment Income-2Yr'!AF42+'All Other E&amp;G-2Yr'!AF42)/'Total E&amp;G-2Yr'!AF42)*100)&gt;=0.005,(('Investment Income-2Yr'!AF42+'All Other E&amp;G-2Yr'!AF42)/'Total E&amp;G-2Yr'!AF42)*100,"*")</f>
        <v>7.2349631952472739</v>
      </c>
      <c r="V47" s="10"/>
      <c r="W47" s="16">
        <f t="shared" si="1"/>
        <v>100</v>
      </c>
      <c r="X47" s="16">
        <f t="shared" si="2"/>
        <v>100</v>
      </c>
      <c r="Y47" s="1"/>
      <c r="Z47" s="109">
        <f t="shared" si="3"/>
        <v>37.914387507241472</v>
      </c>
      <c r="AA47" s="110">
        <f t="shared" si="14"/>
        <v>38.702111247091167</v>
      </c>
      <c r="AB47" s="109">
        <f t="shared" si="4"/>
        <v>24.946786735132694</v>
      </c>
      <c r="AC47" s="110">
        <f t="shared" si="5"/>
        <v>18.162600028135941</v>
      </c>
      <c r="AD47" s="109">
        <f t="shared" si="6"/>
        <v>99.999999999999972</v>
      </c>
      <c r="AE47" s="110">
        <f t="shared" si="7"/>
        <v>100</v>
      </c>
    </row>
    <row r="48" spans="1:31">
      <c r="A48" s="71" t="s">
        <v>55</v>
      </c>
      <c r="B48" s="71"/>
      <c r="C48" s="77">
        <f>('Tuition-2Yr'!AK43/'Total E&amp;G-2Yr'!AK43)*100</f>
        <v>29.695238172820087</v>
      </c>
      <c r="D48" s="84">
        <f>('State Appropriations-2Yr'!AK43)/('Total E&amp;G-2Yr'!AK43)*100</f>
        <v>18.450278483915856</v>
      </c>
      <c r="E48" s="77">
        <f>IF((('Local Appropriations-2Yr'!AK43/'Total E&amp;G-2Yr'!AK43)*100)=0,(('Local Appropriations-2Yr'!AK43/'Total E&amp;G-2Yr'!AK43)*100),IF((('Local Appropriations-2Yr'!AK43/'Total E&amp;G-2Yr'!AK43)*100)&gt;=0.005,('Local Appropriations-2Yr'!AK43/'Total E&amp;G-2Yr'!AK43)*100,"*"))</f>
        <v>30.858481231014178</v>
      </c>
      <c r="F48" s="84">
        <f>('Fed Contracts Grnts-2Yr'!AK43)/('Total E&amp;G-2Yr'!AK43)*100</f>
        <v>12.507474133536068</v>
      </c>
      <c r="G48" s="77">
        <f>('Other Contracts Grnts-2Yr'!AK43/'Total E&amp;G-2Yr'!AK43)*100</f>
        <v>3.1204447827513109</v>
      </c>
      <c r="H48" s="84">
        <f>('All Other E&amp;G-2Yr'!AK43+'Investment Income-2Yr'!AK43)/('Total E&amp;G-2Yr'!AK43)*100</f>
        <v>5.3680831959624857</v>
      </c>
      <c r="I48" s="84">
        <f t="shared" si="29"/>
        <v>6.5552236996631379</v>
      </c>
      <c r="J48" s="84">
        <f t="shared" si="30"/>
        <v>-6.8562939998876971E-2</v>
      </c>
      <c r="K48" s="77">
        <f t="shared" si="31"/>
        <v>-3.2445670819881407</v>
      </c>
      <c r="L48" s="84">
        <f t="shared" si="32"/>
        <v>-4.2454025058281921</v>
      </c>
      <c r="M48" s="77">
        <f t="shared" si="33"/>
        <v>0.83933208151911654</v>
      </c>
      <c r="N48" s="84">
        <f t="shared" si="34"/>
        <v>0.16397674663292428</v>
      </c>
      <c r="O48" s="23"/>
      <c r="P48" s="10">
        <f>('Tuition-2Yr'!AF43/'Total E&amp;G-2Yr'!AF43)*100</f>
        <v>23.140014473156949</v>
      </c>
      <c r="Q48" s="10">
        <f>('State Appropriations-2Yr'!AF43/'Total E&amp;G-2Yr'!AF43)*100</f>
        <v>18.518841423914733</v>
      </c>
      <c r="R48" s="10">
        <f>IF((('Local Appropriations-2Yr'!AF43/'Total E&amp;G-2Yr'!AF43)*100)&gt;=0.005,('Local Appropriations-2Yr'!AF43/'Total E&amp;G-2Yr'!AF43)*100,"*")</f>
        <v>34.103048313002319</v>
      </c>
      <c r="S48" s="10">
        <f>('Fed Contracts Grnts-2Yr'!AF43/'Total E&amp;G-2Yr'!AF43)*100</f>
        <v>16.75287663936426</v>
      </c>
      <c r="T48" s="10">
        <f>('Other Contracts Grnts-2Yr'!AF43/'Total E&amp;G-2Yr'!AF43)*100</f>
        <v>2.2811127012321943</v>
      </c>
      <c r="U48" s="10">
        <f>IF(((('Investment Income-2Yr'!AF43+'All Other E&amp;G-2Yr'!AF43)/'Total E&amp;G-2Yr'!AF43)*100)&gt;=0.005,(('Investment Income-2Yr'!AF43+'All Other E&amp;G-2Yr'!AF43)/'Total E&amp;G-2Yr'!AF43)*100,"*")</f>
        <v>5.2041064493295615</v>
      </c>
      <c r="V48" s="10"/>
      <c r="W48" s="16">
        <f t="shared" si="1"/>
        <v>100</v>
      </c>
      <c r="X48" s="16">
        <f t="shared" si="2"/>
        <v>99.999999999999972</v>
      </c>
      <c r="Y48" s="1"/>
      <c r="Z48" s="109">
        <f t="shared" si="3"/>
        <v>52.621889736917055</v>
      </c>
      <c r="AA48" s="110">
        <f t="shared" si="14"/>
        <v>49.308759714930034</v>
      </c>
      <c r="AB48" s="109">
        <f t="shared" si="4"/>
        <v>19.033989340596456</v>
      </c>
      <c r="AC48" s="110">
        <f t="shared" si="5"/>
        <v>15.627918916287378</v>
      </c>
      <c r="AD48" s="109">
        <f t="shared" si="6"/>
        <v>100.00000000000001</v>
      </c>
      <c r="AE48" s="110">
        <f t="shared" si="7"/>
        <v>99.999999999999972</v>
      </c>
    </row>
    <row r="49" spans="1:31">
      <c r="A49" s="70" t="s">
        <v>56</v>
      </c>
      <c r="B49" s="70"/>
      <c r="C49" s="76">
        <f>('Tuition-2Yr'!AK44/'Total E&amp;G-2Yr'!AK44)*100</f>
        <v>33.577020694606595</v>
      </c>
      <c r="D49" s="83">
        <f>('State Appropriations-2Yr'!AK44)/('Total E&amp;G-2Yr'!AK44)*100</f>
        <v>18.347323413768404</v>
      </c>
      <c r="E49" s="76">
        <f>IF((('Local Appropriations-2Yr'!AK44/'Total E&amp;G-2Yr'!AK44)*100)=0,(('Local Appropriations-2Yr'!AK44/'Total E&amp;G-2Yr'!AK44)*100),IF((('Local Appropriations-2Yr'!AK44/'Total E&amp;G-2Yr'!AK44)*100)&gt;=0.005,('Local Appropriations-2Yr'!AK44/'Total E&amp;G-2Yr'!AK44)*100,"*"))</f>
        <v>26.749104673031376</v>
      </c>
      <c r="F49" s="83">
        <f>('Fed Contracts Grnts-2Yr'!AK44)/('Total E&amp;G-2Yr'!AK44)*100</f>
        <v>13.734203917616886</v>
      </c>
      <c r="G49" s="76">
        <f>('Other Contracts Grnts-2Yr'!AK44/'Total E&amp;G-2Yr'!AK44)*100</f>
        <v>2.4768437190133916</v>
      </c>
      <c r="H49" s="83">
        <f>('All Other E&amp;G-2Yr'!AK44+'Investment Income-2Yr'!AK44)/('Total E&amp;G-2Yr'!AK44)*100</f>
        <v>5.1155035819633508</v>
      </c>
      <c r="I49" s="83">
        <f t="shared" si="29"/>
        <v>1.3818972367233968</v>
      </c>
      <c r="J49" s="83">
        <f t="shared" si="30"/>
        <v>2.4079019987186161</v>
      </c>
      <c r="K49" s="76">
        <f t="shared" si="31"/>
        <v>2.6440227296802128</v>
      </c>
      <c r="L49" s="83">
        <f t="shared" si="32"/>
        <v>-8.4231319851704303</v>
      </c>
      <c r="M49" s="76">
        <f t="shared" si="33"/>
        <v>0.16295168975805785</v>
      </c>
      <c r="N49" s="83">
        <f t="shared" si="34"/>
        <v>1.8263583302901565</v>
      </c>
      <c r="O49" s="23"/>
      <c r="P49" s="10">
        <f>('Tuition-2Yr'!AF44/'Total E&amp;G-2Yr'!AF44)*100</f>
        <v>32.195123457883199</v>
      </c>
      <c r="Q49" s="10">
        <f>('State Appropriations-2Yr'!AF44/'Total E&amp;G-2Yr'!AF44)*100</f>
        <v>15.939421415049788</v>
      </c>
      <c r="R49" s="10">
        <f>IF((('Local Appropriations-2Yr'!AF44/'Total E&amp;G-2Yr'!AF44)*100)&gt;=0.005,('Local Appropriations-2Yr'!AF44/'Total E&amp;G-2Yr'!AF44)*100,"*")</f>
        <v>24.105081943351163</v>
      </c>
      <c r="S49" s="10">
        <f>('Fed Contracts Grnts-2Yr'!AF44/'Total E&amp;G-2Yr'!AF44)*100</f>
        <v>22.157335902787317</v>
      </c>
      <c r="T49" s="10">
        <f>('Other Contracts Grnts-2Yr'!AF44/'Total E&amp;G-2Yr'!AF44)*100</f>
        <v>2.3138920292553338</v>
      </c>
      <c r="U49" s="10">
        <f>IF(((('Investment Income-2Yr'!AF44+'All Other E&amp;G-2Yr'!AF44)/'Total E&amp;G-2Yr'!AF44)*100)&gt;=0.005,(('Investment Income-2Yr'!AF44+'All Other E&amp;G-2Yr'!AF44)/'Total E&amp;G-2Yr'!AF44)*100,"*")</f>
        <v>3.2891452516731943</v>
      </c>
      <c r="V49" s="10"/>
      <c r="W49" s="16">
        <f t="shared" si="1"/>
        <v>99.999999999999986</v>
      </c>
      <c r="X49" s="16">
        <f t="shared" si="2"/>
        <v>99.999999999999986</v>
      </c>
      <c r="Y49" s="1"/>
      <c r="Z49" s="109">
        <f t="shared" si="3"/>
        <v>40.044503358400952</v>
      </c>
      <c r="AA49" s="110">
        <f t="shared" si="14"/>
        <v>45.096428086799776</v>
      </c>
      <c r="AB49" s="109">
        <f t="shared" si="4"/>
        <v>24.471227932042652</v>
      </c>
      <c r="AC49" s="110">
        <f t="shared" si="5"/>
        <v>16.211047636630276</v>
      </c>
      <c r="AD49" s="109">
        <f t="shared" si="6"/>
        <v>99.999999999999986</v>
      </c>
      <c r="AE49" s="110">
        <f t="shared" si="7"/>
        <v>100</v>
      </c>
    </row>
    <row r="50" spans="1:31">
      <c r="A50" s="70" t="s">
        <v>57</v>
      </c>
      <c r="B50" s="70"/>
      <c r="C50" s="76">
        <f>('Tuition-2Yr'!AK45/'Total E&amp;G-2Yr'!AK45)*100</f>
        <v>38.967738007208766</v>
      </c>
      <c r="D50" s="83">
        <f>('State Appropriations-2Yr'!AK45)/('Total E&amp;G-2Yr'!AK45)*100</f>
        <v>36.023457485828622</v>
      </c>
      <c r="E50" s="76">
        <f>IF((('Local Appropriations-2Yr'!AK45/'Total E&amp;G-2Yr'!AK45)*100)=0,(('Local Appropriations-2Yr'!AK45/'Total E&amp;G-2Yr'!AK45)*100),IF((('Local Appropriations-2Yr'!AK45/'Total E&amp;G-2Yr'!AK45)*100)&gt;=0.005,('Local Appropriations-2Yr'!AK45/'Total E&amp;G-2Yr'!AK45)*100,"*"))</f>
        <v>0</v>
      </c>
      <c r="F50" s="83">
        <f>('Fed Contracts Grnts-2Yr'!AK45)/('Total E&amp;G-2Yr'!AK45)*100</f>
        <v>16.654828807093725</v>
      </c>
      <c r="G50" s="76">
        <f>('Other Contracts Grnts-2Yr'!AK45/'Total E&amp;G-2Yr'!AK45)*100</f>
        <v>5.8981311654115922</v>
      </c>
      <c r="H50" s="83">
        <f>('All Other E&amp;G-2Yr'!AK45+'Investment Income-2Yr'!AK45)/('Total E&amp;G-2Yr'!AK45)*100</f>
        <v>2.4558445344572926</v>
      </c>
      <c r="I50" s="83">
        <f t="shared" si="29"/>
        <v>-3.4702898361093801</v>
      </c>
      <c r="J50" s="83">
        <f t="shared" si="30"/>
        <v>7.0494139607500195</v>
      </c>
      <c r="K50" s="76">
        <f t="shared" si="31"/>
        <v>0</v>
      </c>
      <c r="L50" s="83">
        <f t="shared" si="32"/>
        <v>-5.7042331753104953</v>
      </c>
      <c r="M50" s="76">
        <f t="shared" si="33"/>
        <v>0.55652755661262887</v>
      </c>
      <c r="N50" s="83">
        <f t="shared" si="34"/>
        <v>1.5685814940572007</v>
      </c>
      <c r="O50" s="23"/>
      <c r="P50" s="10">
        <f>('Tuition-2Yr'!AF45/'Total E&amp;G-2Yr'!AF45)*100</f>
        <v>42.438027843318146</v>
      </c>
      <c r="Q50" s="10">
        <f>('State Appropriations-2Yr'!AF45/'Total E&amp;G-2Yr'!AF45)*100</f>
        <v>28.974043525078603</v>
      </c>
      <c r="R50" s="10" t="str">
        <f>IF((('Local Appropriations-2Yr'!AF45/'Total E&amp;G-2Yr'!AF45)*100)&gt;=0.005,('Local Appropriations-2Yr'!AF45/'Total E&amp;G-2Yr'!AF45)*100,"*")</f>
        <v>*</v>
      </c>
      <c r="S50" s="10">
        <f>('Fed Contracts Grnts-2Yr'!AF45/'Total E&amp;G-2Yr'!AF45)*100</f>
        <v>22.359061982404221</v>
      </c>
      <c r="T50" s="10">
        <f>('Other Contracts Grnts-2Yr'!AF45/'Total E&amp;G-2Yr'!AF45)*100</f>
        <v>5.3416036087989633</v>
      </c>
      <c r="U50" s="10">
        <f>IF(((('Investment Income-2Yr'!AF45+'All Other E&amp;G-2Yr'!AF45)/'Total E&amp;G-2Yr'!AF45)*100)&gt;=0.005,(('Investment Income-2Yr'!AF45+'All Other E&amp;G-2Yr'!AF45)/'Total E&amp;G-2Yr'!AF45)*100,"*")</f>
        <v>0.88726304040009185</v>
      </c>
      <c r="V50" s="10"/>
      <c r="W50" s="16">
        <f t="shared" si="1"/>
        <v>100.00000000000001</v>
      </c>
      <c r="X50" s="16">
        <f t="shared" si="2"/>
        <v>100.00000000000001</v>
      </c>
      <c r="Y50" s="1"/>
      <c r="Z50" s="109">
        <f t="shared" si="3"/>
        <v>28.974043525078603</v>
      </c>
      <c r="AA50" s="110">
        <f t="shared" si="14"/>
        <v>36.023457485828622</v>
      </c>
      <c r="AB50" s="109">
        <f t="shared" si="4"/>
        <v>27.700665591203183</v>
      </c>
      <c r="AC50" s="110">
        <f t="shared" si="5"/>
        <v>22.552959972505317</v>
      </c>
      <c r="AD50" s="109">
        <f t="shared" si="6"/>
        <v>100.00000000000003</v>
      </c>
      <c r="AE50" s="110">
        <f t="shared" si="7"/>
        <v>100</v>
      </c>
    </row>
    <row r="51" spans="1:31">
      <c r="A51" s="70" t="s">
        <v>58</v>
      </c>
      <c r="B51" s="70"/>
      <c r="C51" s="76">
        <f>('Tuition-2Yr'!AK46/'Total E&amp;G-2Yr'!AK46)*100</f>
        <v>34.644300589887109</v>
      </c>
      <c r="D51" s="83">
        <f>('State Appropriations-2Yr'!AK46)/('Total E&amp;G-2Yr'!AK46)*100</f>
        <v>16.874545814819513</v>
      </c>
      <c r="E51" s="76">
        <f>IF((('Local Appropriations-2Yr'!AK46/'Total E&amp;G-2Yr'!AK46)*100)=0,(('Local Appropriations-2Yr'!AK46/'Total E&amp;G-2Yr'!AK46)*100),IF((('Local Appropriations-2Yr'!AK46/'Total E&amp;G-2Yr'!AK46)*100)&gt;=0.005,('Local Appropriations-2Yr'!AK46/'Total E&amp;G-2Yr'!AK46)*100,"*"))</f>
        <v>18.851771633675838</v>
      </c>
      <c r="F51" s="83">
        <f>('Fed Contracts Grnts-2Yr'!AK46)/('Total E&amp;G-2Yr'!AK46)*100</f>
        <v>20.085741508642137</v>
      </c>
      <c r="G51" s="76">
        <f>('Other Contracts Grnts-2Yr'!AK46/'Total E&amp;G-2Yr'!AK46)*100</f>
        <v>4.7438098168897502</v>
      </c>
      <c r="H51" s="83">
        <f>('All Other E&amp;G-2Yr'!AK46+'Investment Income-2Yr'!AK46)/('Total E&amp;G-2Yr'!AK46)*100</f>
        <v>4.799830636085642</v>
      </c>
      <c r="I51" s="83">
        <f t="shared" si="29"/>
        <v>4.9690614274491089</v>
      </c>
      <c r="J51" s="83">
        <f t="shared" si="30"/>
        <v>1.2361743086431218</v>
      </c>
      <c r="K51" s="76">
        <f t="shared" si="31"/>
        <v>2.0699372779906327</v>
      </c>
      <c r="L51" s="83">
        <f t="shared" si="32"/>
        <v>-9.450334649305816</v>
      </c>
      <c r="M51" s="76">
        <f t="shared" si="33"/>
        <v>0.57239711566434792</v>
      </c>
      <c r="N51" s="83">
        <f t="shared" si="34"/>
        <v>0.60276451955858423</v>
      </c>
      <c r="O51" s="23"/>
      <c r="P51" s="10">
        <f>('Tuition-2Yr'!AF46/'Total E&amp;G-2Yr'!AF46)*100</f>
        <v>29.675239162438</v>
      </c>
      <c r="Q51" s="10">
        <f>('State Appropriations-2Yr'!AF46/'Total E&amp;G-2Yr'!AF46)*100</f>
        <v>15.638371506176391</v>
      </c>
      <c r="R51" s="10">
        <f>IF((('Local Appropriations-2Yr'!AF46/'Total E&amp;G-2Yr'!AF46)*100)&gt;=0.005,('Local Appropriations-2Yr'!AF46/'Total E&amp;G-2Yr'!AF46)*100,"*")</f>
        <v>16.781834355685206</v>
      </c>
      <c r="S51" s="10">
        <f>('Fed Contracts Grnts-2Yr'!AF46/'Total E&amp;G-2Yr'!AF46)*100</f>
        <v>29.536076157947953</v>
      </c>
      <c r="T51" s="10">
        <f>('Other Contracts Grnts-2Yr'!AF46/'Total E&amp;G-2Yr'!AF46)*100</f>
        <v>4.1714127012254023</v>
      </c>
      <c r="U51" s="10">
        <f>IF(((('Investment Income-2Yr'!AF46+'All Other E&amp;G-2Yr'!AF46)/'Total E&amp;G-2Yr'!AF46)*100)&gt;=0.005,(('Investment Income-2Yr'!AF46+'All Other E&amp;G-2Yr'!AF46)/'Total E&amp;G-2Yr'!AF46)*100,"*")</f>
        <v>4.1970661165270577</v>
      </c>
      <c r="V51" s="10"/>
      <c r="W51" s="16">
        <f t="shared" si="1"/>
        <v>100.00000000000001</v>
      </c>
      <c r="X51" s="16">
        <f t="shared" si="2"/>
        <v>99.999999999999986</v>
      </c>
      <c r="Y51" s="1"/>
      <c r="Z51" s="109">
        <f t="shared" si="3"/>
        <v>32.420205861861596</v>
      </c>
      <c r="AA51" s="110">
        <f t="shared" si="14"/>
        <v>35.726317448495351</v>
      </c>
      <c r="AB51" s="109">
        <f t="shared" si="4"/>
        <v>33.707488859173353</v>
      </c>
      <c r="AC51" s="110">
        <f t="shared" si="5"/>
        <v>24.829551325531888</v>
      </c>
      <c r="AD51" s="109">
        <f t="shared" si="6"/>
        <v>100</v>
      </c>
      <c r="AE51" s="110">
        <f t="shared" si="7"/>
        <v>99.999999999999986</v>
      </c>
    </row>
    <row r="52" spans="1:31">
      <c r="A52" s="70" t="s">
        <v>59</v>
      </c>
      <c r="B52" s="70"/>
      <c r="C52" s="76">
        <f>('Tuition-2Yr'!AK47/'Total E&amp;G-2Yr'!AK47)*100</f>
        <v>22.96923985670664</v>
      </c>
      <c r="D52" s="83">
        <f>('State Appropriations-2Yr'!AK47)/('Total E&amp;G-2Yr'!AK47)*100</f>
        <v>21.116283233452133</v>
      </c>
      <c r="E52" s="76">
        <f>IF((('Local Appropriations-2Yr'!AK47/'Total E&amp;G-2Yr'!AK47)*100)=0,(('Local Appropriations-2Yr'!AK47/'Total E&amp;G-2Yr'!AK47)*100),IF((('Local Appropriations-2Yr'!AK47/'Total E&amp;G-2Yr'!AK47)*100)&gt;=0.005,('Local Appropriations-2Yr'!AK47/'Total E&amp;G-2Yr'!AK47)*100,"*"))</f>
        <v>37.002315155202311</v>
      </c>
      <c r="F52" s="83">
        <f>('Fed Contracts Grnts-2Yr'!AK47)/('Total E&amp;G-2Yr'!AK47)*100</f>
        <v>12.331703973904503</v>
      </c>
      <c r="G52" s="76">
        <f>('Other Contracts Grnts-2Yr'!AK47/'Total E&amp;G-2Yr'!AK47)*100</f>
        <v>2.877296957190592</v>
      </c>
      <c r="H52" s="83">
        <f>('All Other E&amp;G-2Yr'!AK47+'Investment Income-2Yr'!AK47)/('Total E&amp;G-2Yr'!AK47)*100</f>
        <v>3.7031608235438247</v>
      </c>
      <c r="I52" s="83">
        <f t="shared" si="29"/>
        <v>0.66213223995776005</v>
      </c>
      <c r="J52" s="83">
        <f t="shared" si="30"/>
        <v>-3.9744790266373649</v>
      </c>
      <c r="K52" s="76">
        <f t="shared" si="31"/>
        <v>6.6103064610655196</v>
      </c>
      <c r="L52" s="83">
        <f t="shared" si="32"/>
        <v>-6.2926088226457004</v>
      </c>
      <c r="M52" s="76">
        <f t="shared" si="33"/>
        <v>0.69349942799387554</v>
      </c>
      <c r="N52" s="83">
        <f t="shared" si="34"/>
        <v>2.3011497202659252</v>
      </c>
      <c r="O52" s="23"/>
      <c r="P52" s="10">
        <f>('Tuition-2Yr'!AF47/'Total E&amp;G-2Yr'!AF47)*100</f>
        <v>22.30710761674888</v>
      </c>
      <c r="Q52" s="10">
        <f>('State Appropriations-2Yr'!AF47/'Total E&amp;G-2Yr'!AF47)*100</f>
        <v>25.090762260089498</v>
      </c>
      <c r="R52" s="10">
        <f>IF((('Local Appropriations-2Yr'!AF47/'Total E&amp;G-2Yr'!AF47)*100)&gt;=0.005,('Local Appropriations-2Yr'!AF47/'Total E&amp;G-2Yr'!AF47)*100,"*")</f>
        <v>30.392008694136791</v>
      </c>
      <c r="S52" s="10">
        <f>('Fed Contracts Grnts-2Yr'!AF47/'Total E&amp;G-2Yr'!AF47)*100</f>
        <v>18.624312796550203</v>
      </c>
      <c r="T52" s="10">
        <f>('Other Contracts Grnts-2Yr'!AF47/'Total E&amp;G-2Yr'!AF47)*100</f>
        <v>2.1837975291967164</v>
      </c>
      <c r="U52" s="10">
        <f>IF(((('Investment Income-2Yr'!AF47+'All Other E&amp;G-2Yr'!AF47)/'Total E&amp;G-2Yr'!AF47)*100)&gt;=0.005,(('Investment Income-2Yr'!AF47+'All Other E&amp;G-2Yr'!AF47)/'Total E&amp;G-2Yr'!AF47)*100,"*")</f>
        <v>1.4020111032778995</v>
      </c>
      <c r="V52" s="10"/>
      <c r="W52" s="16">
        <f t="shared" si="1"/>
        <v>99.999999999999972</v>
      </c>
      <c r="X52" s="16">
        <f t="shared" si="2"/>
        <v>100.00000000000001</v>
      </c>
      <c r="Y52" s="1"/>
      <c r="Z52" s="109">
        <f t="shared" si="3"/>
        <v>55.482770954226289</v>
      </c>
      <c r="AA52" s="110">
        <f t="shared" si="14"/>
        <v>58.118598388654448</v>
      </c>
      <c r="AB52" s="109">
        <f t="shared" si="4"/>
        <v>20.80811032574692</v>
      </c>
      <c r="AC52" s="110">
        <f t="shared" si="5"/>
        <v>15.209000931095094</v>
      </c>
      <c r="AD52" s="109">
        <f t="shared" si="6"/>
        <v>99.999999999999986</v>
      </c>
      <c r="AE52" s="110">
        <f t="shared" si="7"/>
        <v>100</v>
      </c>
    </row>
    <row r="53" spans="1:31">
      <c r="A53" s="71" t="s">
        <v>60</v>
      </c>
      <c r="B53" s="71"/>
      <c r="C53" s="77">
        <f>('Tuition-2Yr'!AK48/'Total E&amp;G-2Yr'!AK48)*100</f>
        <v>32.323660772406662</v>
      </c>
      <c r="D53" s="84">
        <f>('State Appropriations-2Yr'!AK48)/('Total E&amp;G-2Yr'!AK48)*100</f>
        <v>29.320823799681982</v>
      </c>
      <c r="E53" s="77">
        <f>IF((('Local Appropriations-2Yr'!AK48/'Total E&amp;G-2Yr'!AK48)*100)=0,(('Local Appropriations-2Yr'!AK48/'Total E&amp;G-2Yr'!AK48)*100),IF((('Local Appropriations-2Yr'!AK48/'Total E&amp;G-2Yr'!AK48)*100)&gt;=0.005,('Local Appropriations-2Yr'!AK48/'Total E&amp;G-2Yr'!AK48)*100,"*"))</f>
        <v>0</v>
      </c>
      <c r="F53" s="84">
        <f>('Fed Contracts Grnts-2Yr'!AK48)/('Total E&amp;G-2Yr'!AK48)*100</f>
        <v>20.873094395966028</v>
      </c>
      <c r="G53" s="77">
        <f>('Other Contracts Grnts-2Yr'!AK48/'Total E&amp;G-2Yr'!AK48)*100</f>
        <v>8.487602780045636</v>
      </c>
      <c r="H53" s="84">
        <f>('All Other E&amp;G-2Yr'!AK48+'Investment Income-2Yr'!AK48)/('Total E&amp;G-2Yr'!AK48)*100</f>
        <v>8.9948182518996731</v>
      </c>
      <c r="I53" s="84">
        <f t="shared" si="29"/>
        <v>6.536602124062064</v>
      </c>
      <c r="J53" s="84">
        <f t="shared" si="30"/>
        <v>-5.9357254591073101</v>
      </c>
      <c r="K53" s="77">
        <f t="shared" si="31"/>
        <v>0</v>
      </c>
      <c r="L53" s="84">
        <f t="shared" si="32"/>
        <v>-5.3081882239122891</v>
      </c>
      <c r="M53" s="77">
        <f t="shared" si="33"/>
        <v>-2.7876680834647285</v>
      </c>
      <c r="N53" s="84">
        <f t="shared" si="34"/>
        <v>7.4949796424222423</v>
      </c>
      <c r="O53" s="23"/>
      <c r="P53" s="10">
        <f>('Tuition-2Yr'!AF48/'Total E&amp;G-2Yr'!AF48)*100</f>
        <v>25.787058648344598</v>
      </c>
      <c r="Q53" s="10">
        <f>('State Appropriations-2Yr'!AF48/'Total E&amp;G-2Yr'!AF48)*100</f>
        <v>35.256549258789292</v>
      </c>
      <c r="R53" s="10" t="str">
        <f>IF((('Local Appropriations-2Yr'!AF48/'Total E&amp;G-2Yr'!AF48)*100)&gt;=0.005,('Local Appropriations-2Yr'!AF48/'Total E&amp;G-2Yr'!AF48)*100,"*")</f>
        <v>*</v>
      </c>
      <c r="S53" s="10">
        <f>('Fed Contracts Grnts-2Yr'!AF48/'Total E&amp;G-2Yr'!AF48)*100</f>
        <v>26.181282619878317</v>
      </c>
      <c r="T53" s="10">
        <f>('Other Contracts Grnts-2Yr'!AF48/'Total E&amp;G-2Yr'!AF48)*100</f>
        <v>11.275270863510364</v>
      </c>
      <c r="U53" s="10">
        <f>IF(((('Investment Income-2Yr'!AF48+'All Other E&amp;G-2Yr'!AF48)/'Total E&amp;G-2Yr'!AF48)*100)&gt;=0.005,(('Investment Income-2Yr'!AF48+'All Other E&amp;G-2Yr'!AF48)/'Total E&amp;G-2Yr'!AF48)*100,"*")</f>
        <v>1.4998386094774308</v>
      </c>
      <c r="V53" s="10"/>
      <c r="W53" s="16">
        <f t="shared" si="1"/>
        <v>100.00000000000001</v>
      </c>
      <c r="X53" s="16">
        <f t="shared" si="2"/>
        <v>99.999999999999972</v>
      </c>
      <c r="Y53" s="1"/>
      <c r="Z53" s="109">
        <f t="shared" si="3"/>
        <v>35.256549258789292</v>
      </c>
      <c r="AA53" s="110">
        <f t="shared" si="14"/>
        <v>29.320823799681982</v>
      </c>
      <c r="AB53" s="109">
        <f t="shared" si="4"/>
        <v>37.456553483388682</v>
      </c>
      <c r="AC53" s="110">
        <f t="shared" si="5"/>
        <v>29.360697176011662</v>
      </c>
      <c r="AD53" s="109">
        <f t="shared" si="6"/>
        <v>100</v>
      </c>
      <c r="AE53" s="110">
        <f t="shared" si="7"/>
        <v>99.999999999999972</v>
      </c>
    </row>
    <row r="54" spans="1:31">
      <c r="A54" s="71" t="s">
        <v>61</v>
      </c>
      <c r="B54" s="71"/>
      <c r="C54" s="77">
        <f>('Tuition-2Yr'!AK49/'Total E&amp;G-2Yr'!AK49)*100</f>
        <v>39.397420668589263</v>
      </c>
      <c r="D54" s="84">
        <f>('State Appropriations-2Yr'!AK49)/('Total E&amp;G-2Yr'!AK49)*100</f>
        <v>27.566465026972931</v>
      </c>
      <c r="E54" s="77">
        <f>IF((('Local Appropriations-2Yr'!AK49/'Total E&amp;G-2Yr'!AK49)*100)=0,(('Local Appropriations-2Yr'!AK49/'Total E&amp;G-2Yr'!AK49)*100),IF((('Local Appropriations-2Yr'!AK49/'Total E&amp;G-2Yr'!AK49)*100)&gt;=0.005,('Local Appropriations-2Yr'!AK49/'Total E&amp;G-2Yr'!AK49)*100,"*"))</f>
        <v>10.700447281156162</v>
      </c>
      <c r="F54" s="84">
        <f>('Fed Contracts Grnts-2Yr'!AK49)/('Total E&amp;G-2Yr'!AK49)*100</f>
        <v>15.723423736018329</v>
      </c>
      <c r="G54" s="77">
        <f>('Other Contracts Grnts-2Yr'!AK49/'Total E&amp;G-2Yr'!AK49)*100</f>
        <v>2.6363673580997338</v>
      </c>
      <c r="H54" s="84">
        <f>('All Other E&amp;G-2Yr'!AK49+'Investment Income-2Yr'!AK49)/('Total E&amp;G-2Yr'!AK49)*100</f>
        <v>3.9758759291635846</v>
      </c>
      <c r="I54" s="84">
        <f t="shared" si="29"/>
        <v>0.90565108122579119</v>
      </c>
      <c r="J54" s="84">
        <f t="shared" si="30"/>
        <v>2.0084346269060092</v>
      </c>
      <c r="K54" s="77">
        <f t="shared" si="31"/>
        <v>1.5925254967112767</v>
      </c>
      <c r="L54" s="84">
        <f t="shared" si="32"/>
        <v>-5.8079337193006673</v>
      </c>
      <c r="M54" s="77">
        <f t="shared" si="33"/>
        <v>0.17524700854156805</v>
      </c>
      <c r="N54" s="84">
        <f t="shared" si="34"/>
        <v>1.1260755059160363</v>
      </c>
      <c r="O54" s="23"/>
      <c r="P54" s="10">
        <f>('Tuition-2Yr'!AF49/'Total E&amp;G-2Yr'!AF49)*100</f>
        <v>38.491769587363471</v>
      </c>
      <c r="Q54" s="10">
        <f>('State Appropriations-2Yr'!AF49/'Total E&amp;G-2Yr'!AF49)*100</f>
        <v>25.558030400066922</v>
      </c>
      <c r="R54" s="10">
        <f>IF((('Local Appropriations-2Yr'!AF49/'Total E&amp;G-2Yr'!AF49)*100)&gt;=0.005,('Local Appropriations-2Yr'!AF49/'Total E&amp;G-2Yr'!AF49)*100,"*")</f>
        <v>9.1079217844448852</v>
      </c>
      <c r="S54" s="10">
        <f>('Fed Contracts Grnts-2Yr'!AF49/'Total E&amp;G-2Yr'!AF49)*100</f>
        <v>21.531357455318997</v>
      </c>
      <c r="T54" s="10">
        <f>('Other Contracts Grnts-2Yr'!AF49/'Total E&amp;G-2Yr'!AF49)*100</f>
        <v>2.4611203495581657</v>
      </c>
      <c r="U54" s="10">
        <f>IF(((('Investment Income-2Yr'!AF49+'All Other E&amp;G-2Yr'!AF49)/'Total E&amp;G-2Yr'!AF49)*100)&gt;=0.005,(('Investment Income-2Yr'!AF49+'All Other E&amp;G-2Yr'!AF49)/'Total E&amp;G-2Yr'!AF49)*100,"*")</f>
        <v>2.8498004232475482</v>
      </c>
      <c r="V54" s="10"/>
      <c r="W54" s="16">
        <f t="shared" si="1"/>
        <v>99.999999999999986</v>
      </c>
      <c r="X54" s="16">
        <f t="shared" si="2"/>
        <v>100</v>
      </c>
      <c r="Y54" s="1"/>
      <c r="Z54" s="109">
        <f t="shared" si="3"/>
        <v>34.665952184511809</v>
      </c>
      <c r="AA54" s="110">
        <f t="shared" si="14"/>
        <v>38.266912308129093</v>
      </c>
      <c r="AB54" s="109">
        <f t="shared" si="4"/>
        <v>23.992477804877161</v>
      </c>
      <c r="AC54" s="110">
        <f t="shared" si="5"/>
        <v>18.359791094118062</v>
      </c>
      <c r="AD54" s="109">
        <f t="shared" si="6"/>
        <v>100</v>
      </c>
      <c r="AE54" s="110">
        <f t="shared" si="7"/>
        <v>100</v>
      </c>
    </row>
    <row r="55" spans="1:31">
      <c r="A55" s="71" t="s">
        <v>62</v>
      </c>
      <c r="B55" s="71"/>
      <c r="C55" s="77">
        <f>('Tuition-2Yr'!AK50/'Total E&amp;G-2Yr'!AK50)*100</f>
        <v>44.286520849937908</v>
      </c>
      <c r="D55" s="84">
        <f>('State Appropriations-2Yr'!AK50)/('Total E&amp;G-2Yr'!AK50)*100</f>
        <v>11.375053588698552</v>
      </c>
      <c r="E55" s="77">
        <f>IF((('Local Appropriations-2Yr'!AK50/'Total E&amp;G-2Yr'!AK50)*100)=0,(('Local Appropriations-2Yr'!AK50/'Total E&amp;G-2Yr'!AK50)*100),IF((('Local Appropriations-2Yr'!AK50/'Total E&amp;G-2Yr'!AK50)*100)&gt;=0.005,('Local Appropriations-2Yr'!AK50/'Total E&amp;G-2Yr'!AK50)*100,"*"))</f>
        <v>0</v>
      </c>
      <c r="F55" s="84">
        <f>('Fed Contracts Grnts-2Yr'!AK50)/('Total E&amp;G-2Yr'!AK50)*100</f>
        <v>28.211121098286068</v>
      </c>
      <c r="G55" s="77">
        <f>('Other Contracts Grnts-2Yr'!AK50/'Total E&amp;G-2Yr'!AK50)*100</f>
        <v>8.3461596614454603</v>
      </c>
      <c r="H55" s="84">
        <f>('All Other E&amp;G-2Yr'!AK50+'Investment Income-2Yr'!AK50)/('Total E&amp;G-2Yr'!AK50)*100</f>
        <v>7.7811448016320188</v>
      </c>
      <c r="I55" s="84">
        <f t="shared" si="29"/>
        <v>13.007166638954445</v>
      </c>
      <c r="J55" s="84">
        <f t="shared" si="30"/>
        <v>0.20638593451750609</v>
      </c>
      <c r="K55" s="77">
        <f t="shared" si="31"/>
        <v>0</v>
      </c>
      <c r="L55" s="84">
        <f t="shared" si="32"/>
        <v>-9.2001002164961072</v>
      </c>
      <c r="M55" s="77">
        <f t="shared" si="33"/>
        <v>-6.8844110291716021</v>
      </c>
      <c r="N55" s="84">
        <f t="shared" si="34"/>
        <v>2.8709586721957621</v>
      </c>
      <c r="O55" s="23"/>
      <c r="P55" s="10">
        <f>('Tuition-2Yr'!AF50/'Total E&amp;G-2Yr'!AF50)*100</f>
        <v>31.279354210983463</v>
      </c>
      <c r="Q55" s="10">
        <f>('State Appropriations-2Yr'!AF50/'Total E&amp;G-2Yr'!AF50)*100</f>
        <v>11.168667654181046</v>
      </c>
      <c r="R55" s="10" t="str">
        <f>IF((('Local Appropriations-2Yr'!AF50/'Total E&amp;G-2Yr'!AF50)*100)&gt;=0.005,('Local Appropriations-2Yr'!AF50/'Total E&amp;G-2Yr'!AF50)*100,"*")</f>
        <v>*</v>
      </c>
      <c r="S55" s="10">
        <f>('Fed Contracts Grnts-2Yr'!AF50/'Total E&amp;G-2Yr'!AF50)*100</f>
        <v>37.411221314782175</v>
      </c>
      <c r="T55" s="10">
        <f>('Other Contracts Grnts-2Yr'!AF50/'Total E&amp;G-2Yr'!AF50)*100</f>
        <v>15.230570690617062</v>
      </c>
      <c r="U55" s="10">
        <f>IF(((('Investment Income-2Yr'!AF50+'All Other E&amp;G-2Yr'!AF50)/'Total E&amp;G-2Yr'!AF50)*100)&gt;=0.005,(('Investment Income-2Yr'!AF50+'All Other E&amp;G-2Yr'!AF50)/'Total E&amp;G-2Yr'!AF50)*100,"*")</f>
        <v>4.9101861294362568</v>
      </c>
      <c r="V55" s="10"/>
      <c r="W55" s="16">
        <f t="shared" si="1"/>
        <v>99.999999999999986</v>
      </c>
      <c r="X55" s="16">
        <f t="shared" si="2"/>
        <v>100.00000000000001</v>
      </c>
      <c r="Y55" s="1"/>
      <c r="Z55" s="109">
        <f t="shared" si="3"/>
        <v>11.168667654181046</v>
      </c>
      <c r="AA55" s="110">
        <f t="shared" si="14"/>
        <v>11.375053588698552</v>
      </c>
      <c r="AB55" s="109">
        <f t="shared" si="4"/>
        <v>52.641792005399239</v>
      </c>
      <c r="AC55" s="110">
        <f t="shared" si="5"/>
        <v>36.557280759731526</v>
      </c>
      <c r="AD55" s="109">
        <f t="shared" si="6"/>
        <v>100</v>
      </c>
      <c r="AE55" s="110">
        <f t="shared" si="7"/>
        <v>100</v>
      </c>
    </row>
    <row r="56" spans="1:31">
      <c r="A56" s="71" t="s">
        <v>63</v>
      </c>
      <c r="B56" s="71"/>
      <c r="C56" s="77">
        <f>('Tuition-2Yr'!AK51/'Total E&amp;G-2Yr'!AK51)*100</f>
        <v>20.358914549576042</v>
      </c>
      <c r="D56" s="85">
        <f>('State Appropriations-2Yr'!AK51)/('Total E&amp;G-2Yr'!AK51)*100</f>
        <v>30.945410096306915</v>
      </c>
      <c r="E56" s="116">
        <f>IF((('Local Appropriations-2Yr'!AK51/'Total E&amp;G-2Yr'!AK51)*100)=0,(('Local Appropriations-2Yr'!AK51/'Total E&amp;G-2Yr'!AK51)*100),IF((('Local Appropriations-2Yr'!AK51/'Total E&amp;G-2Yr'!AK51)*100)&gt;=0.005,('Local Appropriations-2Yr'!AK51/'Total E&amp;G-2Yr'!AK51)*100,"*"))</f>
        <v>28.371009503469136</v>
      </c>
      <c r="F56" s="85">
        <f>('Fed Contracts Grnts-2Yr'!AK51)/('Total E&amp;G-2Yr'!AK51)*100</f>
        <v>10.940933374791669</v>
      </c>
      <c r="G56" s="116">
        <f>('Other Contracts Grnts-2Yr'!AK51/'Total E&amp;G-2Yr'!AK51)*100</f>
        <v>6.752644908659529</v>
      </c>
      <c r="H56" s="118">
        <f>('All Other E&amp;G-2Yr'!AK51+'Investment Income-2Yr'!AK51)/('Total E&amp;G-2Yr'!AK51)*100</f>
        <v>2.6310875671967229</v>
      </c>
      <c r="I56" s="84">
        <f t="shared" si="29"/>
        <v>-4.8551422720483401</v>
      </c>
      <c r="J56" s="84">
        <f t="shared" si="30"/>
        <v>17.5948169066424</v>
      </c>
      <c r="K56" s="77">
        <f t="shared" si="31"/>
        <v>-8.1029860656081603</v>
      </c>
      <c r="L56" s="84">
        <f t="shared" si="32"/>
        <v>-6.1960169557116238</v>
      </c>
      <c r="M56" s="77">
        <f t="shared" si="33"/>
        <v>3.1257202317194728</v>
      </c>
      <c r="N56" s="85">
        <f t="shared" si="34"/>
        <v>-1.5663918449937486</v>
      </c>
      <c r="O56" s="23"/>
      <c r="P56" s="10">
        <f>('Tuition-2Yr'!AF51/'Total E&amp;G-2Yr'!AF51)*100</f>
        <v>25.214056821624382</v>
      </c>
      <c r="Q56" s="10">
        <f>('State Appropriations-2Yr'!AF51/'Total E&amp;G-2Yr'!AF51)*100</f>
        <v>13.350593189664513</v>
      </c>
      <c r="R56" s="10">
        <f>IF((('Local Appropriations-2Yr'!AF51/'Total E&amp;G-2Yr'!AF51)*100)&gt;=0.005,('Local Appropriations-2Yr'!AF51/'Total E&amp;G-2Yr'!AF51)*100,"*")</f>
        <v>36.473995569077296</v>
      </c>
      <c r="S56" s="10">
        <f>('Fed Contracts Grnts-2Yr'!AF51/'Total E&amp;G-2Yr'!AF51)*100</f>
        <v>17.136950330503293</v>
      </c>
      <c r="T56" s="10">
        <f>('Other Contracts Grnts-2Yr'!AF51/'Total E&amp;G-2Yr'!AF51)*100</f>
        <v>3.6269246769400563</v>
      </c>
      <c r="U56" s="10">
        <f>IF(((('Investment Income-2Yr'!AF51+'All Other E&amp;G-2Yr'!AF51)/'Total E&amp;G-2Yr'!AF51)*100)&gt;=0.005,(('Investment Income-2Yr'!AF51+'All Other E&amp;G-2Yr'!AF51)/'Total E&amp;G-2Yr'!AF51)*100,"*")</f>
        <v>4.1974794121904715</v>
      </c>
      <c r="V56" s="10"/>
      <c r="W56" s="16">
        <f t="shared" si="1"/>
        <v>100.00000000000001</v>
      </c>
      <c r="X56" s="16">
        <f t="shared" si="2"/>
        <v>100.00000000000003</v>
      </c>
      <c r="Y56" s="1"/>
      <c r="Z56" s="109">
        <f t="shared" si="3"/>
        <v>49.824588758741811</v>
      </c>
      <c r="AA56" s="110">
        <f t="shared" si="14"/>
        <v>59.316419599776054</v>
      </c>
      <c r="AB56" s="109">
        <f t="shared" si="4"/>
        <v>20.76387500744335</v>
      </c>
      <c r="AC56" s="110">
        <f t="shared" si="5"/>
        <v>17.693578283451199</v>
      </c>
      <c r="AD56" s="109">
        <f t="shared" si="6"/>
        <v>100.00000000000001</v>
      </c>
      <c r="AE56" s="110">
        <f t="shared" si="7"/>
        <v>100.00000000000003</v>
      </c>
    </row>
    <row r="57" spans="1:31">
      <c r="A57" s="73" t="s">
        <v>64</v>
      </c>
      <c r="B57" s="73"/>
      <c r="C57" s="80">
        <f>('Tuition-2Yr'!AK52/'Total E&amp;G-2Yr'!AK52)*100</f>
        <v>39.367968308781904</v>
      </c>
      <c r="D57" s="83">
        <f>('State Appropriations-2Yr'!AK52)/('Total E&amp;G-2Yr'!AK52)*100</f>
        <v>20.99843219947611</v>
      </c>
      <c r="E57" s="76">
        <f>IF((('Local Appropriations-2Yr'!AK52/'Total E&amp;G-2Yr'!AK52)*100)=0,(('Local Appropriations-2Yr'!AK52/'Total E&amp;G-2Yr'!AK52)*100),IF((('Local Appropriations-2Yr'!AK52/'Total E&amp;G-2Yr'!AK52)*100)&gt;=0.005,('Local Appropriations-2Yr'!AK52/'Total E&amp;G-2Yr'!AK52)*100,"*"))</f>
        <v>12.591784372342651</v>
      </c>
      <c r="F57" s="83">
        <f>('Fed Contracts Grnts-2Yr'!AK52)/('Total E&amp;G-2Yr'!AK52)*100</f>
        <v>16.112338550689977</v>
      </c>
      <c r="G57" s="76">
        <f>('Other Contracts Grnts-2Yr'!AK52/'Total E&amp;G-2Yr'!AK52)*100</f>
        <v>6.8553578576945604</v>
      </c>
      <c r="H57" s="83">
        <f>('All Other E&amp;G-2Yr'!AK52+'Investment Income-2Yr'!AK52)/('Total E&amp;G-2Yr'!AK52)*100</f>
        <v>4.0741187110147914</v>
      </c>
      <c r="I57" s="86">
        <f t="shared" si="29"/>
        <v>2.2881151425644148</v>
      </c>
      <c r="J57" s="86">
        <f t="shared" si="30"/>
        <v>-0.21942415395105286</v>
      </c>
      <c r="K57" s="80">
        <f t="shared" si="31"/>
        <v>1.6303230965708302</v>
      </c>
      <c r="L57" s="86">
        <f t="shared" si="32"/>
        <v>-4.7163888449764677</v>
      </c>
      <c r="M57" s="155">
        <f t="shared" si="33"/>
        <v>-1.7388839927513722E-2</v>
      </c>
      <c r="N57" s="83">
        <f t="shared" si="34"/>
        <v>1.0347635997197773</v>
      </c>
      <c r="O57" s="23"/>
      <c r="P57" s="10">
        <f>('Tuition-2Yr'!AF52/'Total E&amp;G-2Yr'!AF52)*100</f>
        <v>37.07985316621749</v>
      </c>
      <c r="Q57" s="10">
        <f>('State Appropriations-2Yr'!AF52/'Total E&amp;G-2Yr'!AF52)*100</f>
        <v>21.217856353427162</v>
      </c>
      <c r="R57" s="10">
        <f>IF((('Local Appropriations-2Yr'!AF52/'Total E&amp;G-2Yr'!AF52)*100)&gt;=0.005,('Local Appropriations-2Yr'!AF52/'Total E&amp;G-2Yr'!AF52)*100,"*")</f>
        <v>10.961461275771821</v>
      </c>
      <c r="S57" s="10">
        <f>('Fed Contracts Grnts-2Yr'!AF52/'Total E&amp;G-2Yr'!AF52)*100</f>
        <v>20.828727395666444</v>
      </c>
      <c r="T57" s="10">
        <f>('Other Contracts Grnts-2Yr'!AF52/'Total E&amp;G-2Yr'!AF52)*100</f>
        <v>6.8727466976220741</v>
      </c>
      <c r="U57" s="10">
        <f>IF(((('Investment Income-2Yr'!AF52+'All Other E&amp;G-2Yr'!AF52)/'Total E&amp;G-2Yr'!AF52)*100)&gt;=0.005,(('Investment Income-2Yr'!AF52+'All Other E&amp;G-2Yr'!AF52)/'Total E&amp;G-2Yr'!AF52)*100,"*")</f>
        <v>3.0393551112950141</v>
      </c>
      <c r="V57" s="10"/>
      <c r="W57" s="16">
        <f t="shared" si="1"/>
        <v>100.00000000000001</v>
      </c>
      <c r="X57" s="16">
        <f t="shared" si="2"/>
        <v>99.999999999999986</v>
      </c>
      <c r="Y57" s="1"/>
      <c r="Z57" s="109">
        <f t="shared" si="3"/>
        <v>32.179317629198984</v>
      </c>
      <c r="AA57" s="110">
        <f t="shared" si="14"/>
        <v>33.590216571818758</v>
      </c>
      <c r="AB57" s="109">
        <f t="shared" si="4"/>
        <v>27.701474093288518</v>
      </c>
      <c r="AC57" s="110">
        <f t="shared" si="5"/>
        <v>22.967696408384537</v>
      </c>
      <c r="AD57" s="109">
        <f t="shared" si="6"/>
        <v>100</v>
      </c>
      <c r="AE57" s="110">
        <f t="shared" si="7"/>
        <v>100</v>
      </c>
    </row>
    <row r="58" spans="1:31">
      <c r="A58" s="70"/>
      <c r="B58" s="70"/>
      <c r="C58" s="76"/>
      <c r="D58" s="83"/>
      <c r="E58" s="76"/>
      <c r="F58" s="83"/>
      <c r="G58" s="76"/>
      <c r="H58" s="83"/>
      <c r="I58" s="83"/>
      <c r="J58" s="83"/>
      <c r="K58" s="76"/>
      <c r="L58" s="83"/>
      <c r="M58" s="76"/>
      <c r="N58" s="83"/>
      <c r="O58" s="23"/>
      <c r="P58" s="10"/>
      <c r="Q58" s="10"/>
      <c r="R58" s="10"/>
      <c r="S58" s="10"/>
      <c r="T58" s="10"/>
      <c r="U58" s="10"/>
      <c r="V58" s="10"/>
      <c r="W58" s="16"/>
      <c r="X58" s="16"/>
      <c r="Y58" s="1"/>
      <c r="Z58" s="109"/>
      <c r="AA58" s="110"/>
      <c r="AB58" s="109"/>
      <c r="AC58" s="110"/>
      <c r="AD58" s="109"/>
      <c r="AE58" s="110"/>
    </row>
    <row r="59" spans="1:31">
      <c r="A59" s="71" t="s">
        <v>65</v>
      </c>
      <c r="B59" s="71"/>
      <c r="C59" s="77">
        <f>('Tuition-2Yr'!AK54/'Total E&amp;G-2Yr'!AK54)*100</f>
        <v>34.494668831273714</v>
      </c>
      <c r="D59" s="84">
        <f>('State Appropriations-2Yr'!AK54)/('Total E&amp;G-2Yr'!AK54)*100</f>
        <v>44.107650391972136</v>
      </c>
      <c r="E59" s="77">
        <f>IF((('Local Appropriations-2Yr'!AK54/'Total E&amp;G-2Yr'!AK54)*100)=0,(('Local Appropriations-2Yr'!AK54/'Total E&amp;G-2Yr'!AK54)*100),IF((('Local Appropriations-2Yr'!AK54/'Total E&amp;G-2Yr'!AK54)*100)&gt;=0.005,('Local Appropriations-2Yr'!AK54/'Total E&amp;G-2Yr'!AK54)*100,"*"))</f>
        <v>0</v>
      </c>
      <c r="F59" s="84">
        <f>('Fed Contracts Grnts-2Yr'!AK54)/('Total E&amp;G-2Yr'!AK54)*100</f>
        <v>15.16072002083844</v>
      </c>
      <c r="G59" s="77">
        <f>('Other Contracts Grnts-2Yr'!AK54/'Total E&amp;G-2Yr'!AK54)*100</f>
        <v>2.9793240288681067</v>
      </c>
      <c r="H59" s="84">
        <f>('All Other E&amp;G-2Yr'!AK54+'Investment Income-2Yr'!AK54)/('Total E&amp;G-2Yr'!AK54)*100</f>
        <v>3.2576367270476121</v>
      </c>
      <c r="I59" s="84">
        <f t="shared" ref="I59:I67" si="35">IF((C59-P59)=0,(C59-P59),IF((C59-P59)&gt;=0.005,(C59-P59),IF((C59-P59&lt;=-0.005),(C59-P59),"*")))</f>
        <v>0.83152476430954891</v>
      </c>
      <c r="J59" s="84">
        <f t="shared" ref="J59:J67" si="36">IF((D59-Q59)=0,(D59-Q59),IF((D59-Q59)&gt;=0.005,(D59-Q59),IF((D59-Q59&lt;=-0.005),(D59-Q59),"*")))</f>
        <v>-0.25661830815543141</v>
      </c>
      <c r="K59" s="77">
        <f t="shared" ref="K59:K67" si="37">IF((E59-R59)=0,(E59-R59),IF((E59-R59)&gt;=0.005,(E59-R59),IF((E59-R59&lt;=-0.005),(E59-R59),"*")))</f>
        <v>0</v>
      </c>
      <c r="L59" s="84">
        <f t="shared" ref="L59:L67" si="38">IF((F59-S59)=0,(F59-S59),IF((F59-S59)&gt;=0.005,(F59-S59),IF((F59-S59&lt;=-0.005),(F59-S59),"*")))</f>
        <v>-2.5266084669293818</v>
      </c>
      <c r="M59" s="77">
        <f t="shared" ref="M59:M67" si="39">IF((G59-T59)=0,(G59-T59),IF((G59-T59)&gt;=0.005,(G59-T59),IF((G59-T59&lt;=-0.005),(G59-T59),"*")))</f>
        <v>0.54997749485395442</v>
      </c>
      <c r="N59" s="84">
        <f t="shared" ref="N59:N67" si="40">IF((H59-U59)=0,(H59-U59),IF((H59-U59)&gt;=0.005,(H59-U59),IF((H59-U59&lt;=-0.005),(H59-U59),"*")))</f>
        <v>1.401724515921335</v>
      </c>
      <c r="O59" s="23"/>
      <c r="P59" s="10">
        <f>('Tuition-2Yr'!AF54/'Total E&amp;G-2Yr'!AF54)*100</f>
        <v>33.663144066964165</v>
      </c>
      <c r="Q59" s="10">
        <f>('State Appropriations-2Yr'!AF54/'Total E&amp;G-2Yr'!AF54)*100</f>
        <v>44.364268700127568</v>
      </c>
      <c r="R59" s="10" t="str">
        <f>IF((('Local Appropriations-2Yr'!AF54/'Total E&amp;G-2Yr'!AF54)*100)&gt;=0.005,('Local Appropriations-2Yr'!AF54/'Total E&amp;G-2Yr'!AF54)*100,"*")</f>
        <v>*</v>
      </c>
      <c r="S59" s="10">
        <f>('Fed Contracts Grnts-2Yr'!AF54/'Total E&amp;G-2Yr'!AF54)*100</f>
        <v>17.687328487767822</v>
      </c>
      <c r="T59" s="10">
        <f>('Other Contracts Grnts-2Yr'!AF54/'Total E&amp;G-2Yr'!AF54)*100</f>
        <v>2.4293465340141522</v>
      </c>
      <c r="U59" s="10">
        <f>IF(((('Investment Income-2Yr'!AF54+'All Other E&amp;G-2Yr'!AF54)/'Total E&amp;G-2Yr'!AF54)*100)&gt;=0.005,(('Investment Income-2Yr'!AF54+'All Other E&amp;G-2Yr'!AF54)/'Total E&amp;G-2Yr'!AF54)*100,"*")</f>
        <v>1.8559122111262771</v>
      </c>
      <c r="V59" s="10"/>
      <c r="W59" s="16">
        <f t="shared" si="1"/>
        <v>99.999999999999986</v>
      </c>
      <c r="X59" s="16">
        <f t="shared" si="2"/>
        <v>100</v>
      </c>
      <c r="Y59" s="1"/>
      <c r="Z59" s="109">
        <f t="shared" si="3"/>
        <v>44.364268700127568</v>
      </c>
      <c r="AA59" s="110">
        <f t="shared" si="14"/>
        <v>44.107650391972136</v>
      </c>
      <c r="AB59" s="109">
        <f t="shared" si="4"/>
        <v>20.116675021781973</v>
      </c>
      <c r="AC59" s="110">
        <f t="shared" si="5"/>
        <v>18.140044049706546</v>
      </c>
      <c r="AD59" s="109">
        <f t="shared" si="6"/>
        <v>99.999999999999986</v>
      </c>
      <c r="AE59" s="110">
        <f t="shared" si="7"/>
        <v>100.00000000000001</v>
      </c>
    </row>
    <row r="60" spans="1:31">
      <c r="A60" s="71" t="s">
        <v>66</v>
      </c>
      <c r="B60" s="71"/>
      <c r="C60" s="77">
        <f>('Tuition-2Yr'!AK55/'Total E&amp;G-2Yr'!AK55)*100</f>
        <v>32.455155428600676</v>
      </c>
      <c r="D60" s="84">
        <f>('State Appropriations-2Yr'!AK55)/('Total E&amp;G-2Yr'!AK55)*100</f>
        <v>34.881853629704366</v>
      </c>
      <c r="E60" s="77">
        <f>IF((('Local Appropriations-2Yr'!AK55/'Total E&amp;G-2Yr'!AK55)*100)=0,(('Local Appropriations-2Yr'!AK55/'Total E&amp;G-2Yr'!AK55)*100),IF((('Local Appropriations-2Yr'!AK55/'Total E&amp;G-2Yr'!AK55)*100)&gt;=0.005,('Local Appropriations-2Yr'!AK55/'Total E&amp;G-2Yr'!AK55)*100,"*"))</f>
        <v>0</v>
      </c>
      <c r="F60" s="84">
        <f>('Fed Contracts Grnts-2Yr'!AK55)/('Total E&amp;G-2Yr'!AK55)*100</f>
        <v>22.74678561029523</v>
      </c>
      <c r="G60" s="77">
        <f>('Other Contracts Grnts-2Yr'!AK55/'Total E&amp;G-2Yr'!AK55)*100</f>
        <v>6.9262065297290176</v>
      </c>
      <c r="H60" s="84">
        <f>('All Other E&amp;G-2Yr'!AK55+'Investment Income-2Yr'!AK55)/('Total E&amp;G-2Yr'!AK55)*100</f>
        <v>2.9899988016707137</v>
      </c>
      <c r="I60" s="84">
        <f t="shared" si="35"/>
        <v>1.8041209560364457</v>
      </c>
      <c r="J60" s="84">
        <f t="shared" si="36"/>
        <v>2.2228760016324074</v>
      </c>
      <c r="K60" s="77">
        <f t="shared" si="37"/>
        <v>0</v>
      </c>
      <c r="L60" s="84">
        <f t="shared" si="38"/>
        <v>-5.3463624883093885</v>
      </c>
      <c r="M60" s="77">
        <f t="shared" si="39"/>
        <v>1.711593825177312</v>
      </c>
      <c r="N60" s="84">
        <f t="shared" si="40"/>
        <v>-0.39222829453676322</v>
      </c>
      <c r="O60" s="23"/>
      <c r="P60" s="10">
        <f>('Tuition-2Yr'!AF55/'Total E&amp;G-2Yr'!AF55)*100</f>
        <v>30.651034472564231</v>
      </c>
      <c r="Q60" s="10">
        <f>('State Appropriations-2Yr'!AF55/'Total E&amp;G-2Yr'!AF55)*100</f>
        <v>32.658977628071959</v>
      </c>
      <c r="R60" s="10" t="str">
        <f>IF((('Local Appropriations-2Yr'!AF55/'Total E&amp;G-2Yr'!AF55)*100)&gt;=0.005,('Local Appropriations-2Yr'!AF55/'Total E&amp;G-2Yr'!AF55)*100,"*")</f>
        <v>*</v>
      </c>
      <c r="S60" s="10">
        <f>('Fed Contracts Grnts-2Yr'!AF55/'Total E&amp;G-2Yr'!AF55)*100</f>
        <v>28.093148098604619</v>
      </c>
      <c r="T60" s="10">
        <f>('Other Contracts Grnts-2Yr'!AF55/'Total E&amp;G-2Yr'!AF55)*100</f>
        <v>5.2146127045517057</v>
      </c>
      <c r="U60" s="10">
        <f>IF(((('Investment Income-2Yr'!AF55+'All Other E&amp;G-2Yr'!AF55)/'Total E&amp;G-2Yr'!AF55)*100)&gt;=0.005,(('Investment Income-2Yr'!AF55+'All Other E&amp;G-2Yr'!AF55)/'Total E&amp;G-2Yr'!AF55)*100,"*")</f>
        <v>3.382227096207477</v>
      </c>
      <c r="V60" s="10"/>
      <c r="W60" s="16">
        <f t="shared" si="1"/>
        <v>99.999999999999986</v>
      </c>
      <c r="X60" s="16">
        <f t="shared" si="2"/>
        <v>100</v>
      </c>
      <c r="Y60" s="1"/>
      <c r="Z60" s="109">
        <f t="shared" si="3"/>
        <v>32.658977628071959</v>
      </c>
      <c r="AA60" s="110">
        <f t="shared" si="14"/>
        <v>34.881853629704366</v>
      </c>
      <c r="AB60" s="109">
        <f t="shared" si="4"/>
        <v>33.307760803156327</v>
      </c>
      <c r="AC60" s="110">
        <f t="shared" si="5"/>
        <v>29.672992140024249</v>
      </c>
      <c r="AD60" s="109">
        <f t="shared" si="6"/>
        <v>100</v>
      </c>
      <c r="AE60" s="110">
        <f t="shared" si="7"/>
        <v>100</v>
      </c>
    </row>
    <row r="61" spans="1:31">
      <c r="A61" s="71" t="s">
        <v>67</v>
      </c>
      <c r="B61" s="71"/>
      <c r="C61" s="77">
        <f>('Tuition-2Yr'!AK56/'Total E&amp;G-2Yr'!AK56)*100</f>
        <v>39.111146467581406</v>
      </c>
      <c r="D61" s="84">
        <f>('State Appropriations-2Yr'!AK56)/('Total E&amp;G-2Yr'!AK56)*100</f>
        <v>36.475249908725331</v>
      </c>
      <c r="E61" s="77">
        <f>IF((('Local Appropriations-2Yr'!AK56/'Total E&amp;G-2Yr'!AK56)*100)=0,(('Local Appropriations-2Yr'!AK56/'Total E&amp;G-2Yr'!AK56)*100),IF((('Local Appropriations-2Yr'!AK56/'Total E&amp;G-2Yr'!AK56)*100)&gt;=0.005,('Local Appropriations-2Yr'!AK56/'Total E&amp;G-2Yr'!AK56)*100,"*"))</f>
        <v>0</v>
      </c>
      <c r="F61" s="84">
        <f>('Fed Contracts Grnts-2Yr'!AK56)/('Total E&amp;G-2Yr'!AK56)*100</f>
        <v>15.810401852001482</v>
      </c>
      <c r="G61" s="77">
        <f>('Other Contracts Grnts-2Yr'!AK56/'Total E&amp;G-2Yr'!AK56)*100</f>
        <v>6.1428912959931132</v>
      </c>
      <c r="H61" s="84">
        <f>('All Other E&amp;G-2Yr'!AK56+'Investment Income-2Yr'!AK56)/('Total E&amp;G-2Yr'!AK56)*100</f>
        <v>2.4603104756986713</v>
      </c>
      <c r="I61" s="84">
        <f t="shared" si="35"/>
        <v>2.0510748158511589</v>
      </c>
      <c r="J61" s="84">
        <f t="shared" si="36"/>
        <v>5.2936608397379743</v>
      </c>
      <c r="K61" s="77">
        <f t="shared" si="37"/>
        <v>0</v>
      </c>
      <c r="L61" s="84">
        <f t="shared" si="38"/>
        <v>-6.1534671289491971</v>
      </c>
      <c r="M61" s="77">
        <f t="shared" si="39"/>
        <v>-0.85814725544956438</v>
      </c>
      <c r="N61" s="84">
        <f t="shared" si="40"/>
        <v>-0.33312127119036239</v>
      </c>
      <c r="O61" s="23"/>
      <c r="P61" s="10">
        <f>('Tuition-2Yr'!AF56/'Total E&amp;G-2Yr'!AF56)*100</f>
        <v>37.060071651730247</v>
      </c>
      <c r="Q61" s="10">
        <f>('State Appropriations-2Yr'!AF56/'Total E&amp;G-2Yr'!AF56)*100</f>
        <v>31.181589068987357</v>
      </c>
      <c r="R61" s="10" t="str">
        <f>IF((('Local Appropriations-2Yr'!AF56/'Total E&amp;G-2Yr'!AF56)*100)&gt;=0.005,('Local Appropriations-2Yr'!AF56/'Total E&amp;G-2Yr'!AF56)*100,"*")</f>
        <v>*</v>
      </c>
      <c r="S61" s="10">
        <f>('Fed Contracts Grnts-2Yr'!AF56/'Total E&amp;G-2Yr'!AF56)*100</f>
        <v>21.963868980950679</v>
      </c>
      <c r="T61" s="10">
        <f>('Other Contracts Grnts-2Yr'!AF56/'Total E&amp;G-2Yr'!AF56)*100</f>
        <v>7.0010385514426776</v>
      </c>
      <c r="U61" s="10">
        <f>IF(((('Investment Income-2Yr'!AF56+'All Other E&amp;G-2Yr'!AF56)/'Total E&amp;G-2Yr'!AF56)*100)&gt;=0.005,(('Investment Income-2Yr'!AF56+'All Other E&amp;G-2Yr'!AF56)/'Total E&amp;G-2Yr'!AF56)*100,"*")</f>
        <v>2.7934317468890337</v>
      </c>
      <c r="V61" s="10"/>
      <c r="W61" s="16">
        <f t="shared" si="1"/>
        <v>99.999999999999986</v>
      </c>
      <c r="X61" s="16">
        <f t="shared" si="2"/>
        <v>100</v>
      </c>
      <c r="Y61" s="1"/>
      <c r="Z61" s="109">
        <f t="shared" si="3"/>
        <v>31.181589068987357</v>
      </c>
      <c r="AA61" s="110">
        <f t="shared" si="14"/>
        <v>36.475249908725331</v>
      </c>
      <c r="AB61" s="109">
        <f t="shared" si="4"/>
        <v>28.964907532393354</v>
      </c>
      <c r="AC61" s="110">
        <f t="shared" si="5"/>
        <v>21.953293147994593</v>
      </c>
      <c r="AD61" s="109">
        <f t="shared" si="6"/>
        <v>100</v>
      </c>
      <c r="AE61" s="110">
        <f t="shared" si="7"/>
        <v>100</v>
      </c>
    </row>
    <row r="62" spans="1:31">
      <c r="A62" s="71" t="s">
        <v>68</v>
      </c>
      <c r="B62" s="71"/>
      <c r="C62" s="77">
        <f>('Tuition-2Yr'!AK57/'Total E&amp;G-2Yr'!AK57)*100</f>
        <v>53.178283911833056</v>
      </c>
      <c r="D62" s="84">
        <f>('State Appropriations-2Yr'!AK57)/('Total E&amp;G-2Yr'!AK57)*100</f>
        <v>30.31450004260773</v>
      </c>
      <c r="E62" s="77">
        <f>IF((('Local Appropriations-2Yr'!AK57/'Total E&amp;G-2Yr'!AK57)*100)=0,(('Local Appropriations-2Yr'!AK57/'Total E&amp;G-2Yr'!AK57)*100),IF((('Local Appropriations-2Yr'!AK57/'Total E&amp;G-2Yr'!AK57)*100)&gt;=0.005,('Local Appropriations-2Yr'!AK57/'Total E&amp;G-2Yr'!AK57)*100,"*"))</f>
        <v>0</v>
      </c>
      <c r="F62" s="84">
        <f>('Fed Contracts Grnts-2Yr'!AK57)/('Total E&amp;G-2Yr'!AK57)*100</f>
        <v>10.632790122177772</v>
      </c>
      <c r="G62" s="77">
        <f>('Other Contracts Grnts-2Yr'!AK57/'Total E&amp;G-2Yr'!AK57)*100</f>
        <v>3.7255216529792698</v>
      </c>
      <c r="H62" s="84">
        <f>('All Other E&amp;G-2Yr'!AK57+'Investment Income-2Yr'!AK57)/('Total E&amp;G-2Yr'!AK57)*100</f>
        <v>2.1489042704021721</v>
      </c>
      <c r="I62" s="84">
        <f t="shared" si="35"/>
        <v>5.5531567627307012</v>
      </c>
      <c r="J62" s="84">
        <f t="shared" si="36"/>
        <v>4.0828551029191651</v>
      </c>
      <c r="K62" s="77">
        <f t="shared" si="37"/>
        <v>0</v>
      </c>
      <c r="L62" s="84">
        <f t="shared" si="38"/>
        <v>-5.587661236167369</v>
      </c>
      <c r="M62" s="77">
        <f t="shared" si="39"/>
        <v>1.6339807141453151</v>
      </c>
      <c r="N62" s="84">
        <f t="shared" si="40"/>
        <v>-5.6823313436278049</v>
      </c>
      <c r="O62" s="23"/>
      <c r="P62" s="10">
        <f>('Tuition-2Yr'!AF57/'Total E&amp;G-2Yr'!AF57)*100</f>
        <v>47.625127149102354</v>
      </c>
      <c r="Q62" s="10">
        <f>('State Appropriations-2Yr'!AF57/'Total E&amp;G-2Yr'!AF57)*100</f>
        <v>26.231644939688564</v>
      </c>
      <c r="R62" s="10" t="str">
        <f>IF((('Local Appropriations-2Yr'!AF57/'Total E&amp;G-2Yr'!AF57)*100)&gt;=0.005,('Local Appropriations-2Yr'!AF57/'Total E&amp;G-2Yr'!AF57)*100,"*")</f>
        <v>*</v>
      </c>
      <c r="S62" s="10">
        <f>('Fed Contracts Grnts-2Yr'!AF57/'Total E&amp;G-2Yr'!AF57)*100</f>
        <v>16.220451358345141</v>
      </c>
      <c r="T62" s="10">
        <f>('Other Contracts Grnts-2Yr'!AF57/'Total E&amp;G-2Yr'!AF57)*100</f>
        <v>2.0915409388339548</v>
      </c>
      <c r="U62" s="10">
        <f>IF(((('Investment Income-2Yr'!AF57+'All Other E&amp;G-2Yr'!AF57)/'Total E&amp;G-2Yr'!AF57)*100)&gt;=0.005,(('Investment Income-2Yr'!AF57+'All Other E&amp;G-2Yr'!AF57)/'Total E&amp;G-2Yr'!AF57)*100,"*")</f>
        <v>7.8312356140299775</v>
      </c>
      <c r="V62" s="10"/>
      <c r="W62" s="16">
        <f t="shared" si="1"/>
        <v>100</v>
      </c>
      <c r="X62" s="16">
        <f t="shared" si="2"/>
        <v>99.999999999999986</v>
      </c>
      <c r="Y62" s="1"/>
      <c r="Z62" s="109">
        <f t="shared" si="3"/>
        <v>26.231644939688564</v>
      </c>
      <c r="AA62" s="110">
        <f t="shared" si="14"/>
        <v>30.31450004260773</v>
      </c>
      <c r="AB62" s="109">
        <f t="shared" si="4"/>
        <v>18.311992297179096</v>
      </c>
      <c r="AC62" s="110">
        <f t="shared" si="5"/>
        <v>14.358311775157041</v>
      </c>
      <c r="AD62" s="109">
        <f t="shared" si="6"/>
        <v>100</v>
      </c>
      <c r="AE62" s="110">
        <f t="shared" si="7"/>
        <v>100</v>
      </c>
    </row>
    <row r="63" spans="1:31">
      <c r="A63" s="70" t="s">
        <v>69</v>
      </c>
      <c r="B63" s="70"/>
      <c r="C63" s="76">
        <f>('Tuition-2Yr'!AK58/'Total E&amp;G-2Yr'!AK58)*100</f>
        <v>44.699419696662609</v>
      </c>
      <c r="D63" s="83">
        <f>('State Appropriations-2Yr'!AK58)/('Total E&amp;G-2Yr'!AK58)*100</f>
        <v>9.470019526633445</v>
      </c>
      <c r="E63" s="76">
        <f>IF((('Local Appropriations-2Yr'!AK58/'Total E&amp;G-2Yr'!AK58)*100)=0,(('Local Appropriations-2Yr'!AK58/'Total E&amp;G-2Yr'!AK58)*100),IF((('Local Appropriations-2Yr'!AK58/'Total E&amp;G-2Yr'!AK58)*100)&gt;=0.005,('Local Appropriations-2Yr'!AK58/'Total E&amp;G-2Yr'!AK58)*100,"*"))</f>
        <v>14.303768489228061</v>
      </c>
      <c r="F63" s="83">
        <f>('Fed Contracts Grnts-2Yr'!AK58)/('Total E&amp;G-2Yr'!AK58)*100</f>
        <v>18.059012016917244</v>
      </c>
      <c r="G63" s="76">
        <f>('Other Contracts Grnts-2Yr'!AK58/'Total E&amp;G-2Yr'!AK58)*100</f>
        <v>7.2946037731436872</v>
      </c>
      <c r="H63" s="83">
        <f>('All Other E&amp;G-2Yr'!AK58+'Investment Income-2Yr'!AK58)/('Total E&amp;G-2Yr'!AK58)*100</f>
        <v>6.1731764974149632</v>
      </c>
      <c r="I63" s="83">
        <f t="shared" si="35"/>
        <v>0.11635106845853471</v>
      </c>
      <c r="J63" s="83">
        <f t="shared" si="36"/>
        <v>0.24687289575078353</v>
      </c>
      <c r="K63" s="76">
        <f t="shared" si="37"/>
        <v>0.65990114243532538</v>
      </c>
      <c r="L63" s="83">
        <f t="shared" si="38"/>
        <v>-5.4467259578846985</v>
      </c>
      <c r="M63" s="76">
        <f t="shared" si="39"/>
        <v>0.72411783150927445</v>
      </c>
      <c r="N63" s="83">
        <f t="shared" si="40"/>
        <v>3.6994830197307804</v>
      </c>
      <c r="O63" s="23"/>
      <c r="P63" s="10">
        <f>('Tuition-2Yr'!AF58/'Total E&amp;G-2Yr'!AF58)*100</f>
        <v>44.583068628204074</v>
      </c>
      <c r="Q63" s="10">
        <f>('State Appropriations-2Yr'!AF58/'Total E&amp;G-2Yr'!AF58)*100</f>
        <v>9.2231466308826615</v>
      </c>
      <c r="R63" s="10">
        <f>IF((('Local Appropriations-2Yr'!AF58/'Total E&amp;G-2Yr'!AF58)*100)&gt;=0.005,('Local Appropriations-2Yr'!AF58/'Total E&amp;G-2Yr'!AF58)*100,"*")</f>
        <v>13.643867346792735</v>
      </c>
      <c r="S63" s="10">
        <f>('Fed Contracts Grnts-2Yr'!AF58/'Total E&amp;G-2Yr'!AF58)*100</f>
        <v>23.505737974801942</v>
      </c>
      <c r="T63" s="10">
        <f>('Other Contracts Grnts-2Yr'!AF58/'Total E&amp;G-2Yr'!AF58)*100</f>
        <v>6.5704859416344128</v>
      </c>
      <c r="U63" s="10">
        <f>IF(((('Investment Income-2Yr'!AF58+'All Other E&amp;G-2Yr'!AF58)/'Total E&amp;G-2Yr'!AF58)*100)&gt;=0.005,(('Investment Income-2Yr'!AF58+'All Other E&amp;G-2Yr'!AF58)/'Total E&amp;G-2Yr'!AF58)*100,"*")</f>
        <v>2.4736934776841828</v>
      </c>
      <c r="V63" s="10"/>
      <c r="W63" s="16">
        <f t="shared" si="1"/>
        <v>100.00000000000001</v>
      </c>
      <c r="X63" s="16">
        <f t="shared" si="2"/>
        <v>100</v>
      </c>
      <c r="Y63" s="1"/>
      <c r="Z63" s="109">
        <f t="shared" si="3"/>
        <v>22.867013977675398</v>
      </c>
      <c r="AA63" s="110">
        <f t="shared" si="14"/>
        <v>23.773788015861506</v>
      </c>
      <c r="AB63" s="109">
        <f t="shared" si="4"/>
        <v>30.076223916436355</v>
      </c>
      <c r="AC63" s="110">
        <f t="shared" si="5"/>
        <v>25.353615790060932</v>
      </c>
      <c r="AD63" s="109">
        <f t="shared" si="6"/>
        <v>100.00000000000001</v>
      </c>
      <c r="AE63" s="110">
        <f t="shared" si="7"/>
        <v>100.00000000000001</v>
      </c>
    </row>
    <row r="64" spans="1:31">
      <c r="A64" s="70" t="s">
        <v>70</v>
      </c>
      <c r="B64" s="70"/>
      <c r="C64" s="76">
        <f>('Tuition-2Yr'!AK59/'Total E&amp;G-2Yr'!AK59)*100</f>
        <v>35.738171073748212</v>
      </c>
      <c r="D64" s="83">
        <f>('State Appropriations-2Yr'!AK59)/('Total E&amp;G-2Yr'!AK59)*100</f>
        <v>17.142882799555657</v>
      </c>
      <c r="E64" s="76">
        <f>IF((('Local Appropriations-2Yr'!AK59/'Total E&amp;G-2Yr'!AK59)*100)=0,(('Local Appropriations-2Yr'!AK59/'Total E&amp;G-2Yr'!AK59)*100),IF((('Local Appropriations-2Yr'!AK59/'Total E&amp;G-2Yr'!AK59)*100)&gt;=0.005,('Local Appropriations-2Yr'!AK59/'Total E&amp;G-2Yr'!AK59)*100,"*"))</f>
        <v>19.883770835889113</v>
      </c>
      <c r="F64" s="83">
        <f>('Fed Contracts Grnts-2Yr'!AK59)/('Total E&amp;G-2Yr'!AK59)*100</f>
        <v>15.16177013653142</v>
      </c>
      <c r="G64" s="76">
        <f>('Other Contracts Grnts-2Yr'!AK59/'Total E&amp;G-2Yr'!AK59)*100</f>
        <v>8.5384823038729039</v>
      </c>
      <c r="H64" s="83">
        <f>('All Other E&amp;G-2Yr'!AK59+'Investment Income-2Yr'!AK59)/('Total E&amp;G-2Yr'!AK59)*100</f>
        <v>3.5349228504026957</v>
      </c>
      <c r="I64" s="83">
        <f t="shared" si="35"/>
        <v>3.0792269467354956</v>
      </c>
      <c r="J64" s="83">
        <f t="shared" si="36"/>
        <v>-2.7236887690911757</v>
      </c>
      <c r="K64" s="76">
        <f t="shared" si="37"/>
        <v>3.3037209543313217</v>
      </c>
      <c r="L64" s="83">
        <f t="shared" si="38"/>
        <v>-4.1702027376039261</v>
      </c>
      <c r="M64" s="76">
        <f t="shared" si="39"/>
        <v>-0.50219887929641338</v>
      </c>
      <c r="N64" s="83">
        <f t="shared" si="40"/>
        <v>1.013142484924709</v>
      </c>
      <c r="O64" s="23"/>
      <c r="P64" s="10">
        <f>('Tuition-2Yr'!AF59/'Total E&amp;G-2Yr'!AF59)*100</f>
        <v>32.658944127012717</v>
      </c>
      <c r="Q64" s="10">
        <f>('State Appropriations-2Yr'!AF59/'Total E&amp;G-2Yr'!AF59)*100</f>
        <v>19.866571568646833</v>
      </c>
      <c r="R64" s="10">
        <f>IF((('Local Appropriations-2Yr'!AF59/'Total E&amp;G-2Yr'!AF59)*100)&gt;=0.005,('Local Appropriations-2Yr'!AF59/'Total E&amp;G-2Yr'!AF59)*100,"*")</f>
        <v>16.580049881557791</v>
      </c>
      <c r="S64" s="10">
        <f>('Fed Contracts Grnts-2Yr'!AF59/'Total E&amp;G-2Yr'!AF59)*100</f>
        <v>19.331972874135346</v>
      </c>
      <c r="T64" s="10">
        <f>('Other Contracts Grnts-2Yr'!AF59/'Total E&amp;G-2Yr'!AF59)*100</f>
        <v>9.0406811831693172</v>
      </c>
      <c r="U64" s="10">
        <f>IF(((('Investment Income-2Yr'!AF59+'All Other E&amp;G-2Yr'!AF59)/'Total E&amp;G-2Yr'!AF59)*100)&gt;=0.005,(('Investment Income-2Yr'!AF59+'All Other E&amp;G-2Yr'!AF59)/'Total E&amp;G-2Yr'!AF59)*100,"*")</f>
        <v>2.5217803654779867</v>
      </c>
      <c r="V64" s="10"/>
      <c r="W64" s="16">
        <f t="shared" si="1"/>
        <v>99.999999999999972</v>
      </c>
      <c r="X64" s="16">
        <f t="shared" si="2"/>
        <v>100</v>
      </c>
      <c r="Y64" s="1"/>
      <c r="Z64" s="109">
        <f t="shared" si="3"/>
        <v>36.446621450204624</v>
      </c>
      <c r="AA64" s="110">
        <f t="shared" si="14"/>
        <v>37.026653635444774</v>
      </c>
      <c r="AB64" s="109">
        <f t="shared" si="4"/>
        <v>28.372654057304665</v>
      </c>
      <c r="AC64" s="110">
        <f t="shared" si="5"/>
        <v>23.700252440404324</v>
      </c>
      <c r="AD64" s="109">
        <f t="shared" si="6"/>
        <v>99.999999999999986</v>
      </c>
      <c r="AE64" s="110">
        <f t="shared" si="7"/>
        <v>100</v>
      </c>
    </row>
    <row r="65" spans="1:31">
      <c r="A65" s="70" t="s">
        <v>71</v>
      </c>
      <c r="B65" s="70"/>
      <c r="C65" s="76">
        <f>('Tuition-2Yr'!AK60/'Total E&amp;G-2Yr'!AK60)*100</f>
        <v>45.234112774661178</v>
      </c>
      <c r="D65" s="83">
        <f>('State Appropriations-2Yr'!AK60)/('Total E&amp;G-2Yr'!AK60)*100</f>
        <v>19.554178722228581</v>
      </c>
      <c r="E65" s="76">
        <f>IF((('Local Appropriations-2Yr'!AK60/'Total E&amp;G-2Yr'!AK60)*100)=0,(('Local Appropriations-2Yr'!AK60/'Total E&amp;G-2Yr'!AK60)*100),IF((('Local Appropriations-2Yr'!AK60/'Total E&amp;G-2Yr'!AK60)*100)&gt;=0.005,('Local Appropriations-2Yr'!AK60/'Total E&amp;G-2Yr'!AK60)*100,"*"))</f>
        <v>8.9504600859411294</v>
      </c>
      <c r="F65" s="83">
        <f>('Fed Contracts Grnts-2Yr'!AK60)/('Total E&amp;G-2Yr'!AK60)*100</f>
        <v>16.853389976154773</v>
      </c>
      <c r="G65" s="76">
        <f>('Other Contracts Grnts-2Yr'!AK60/'Total E&amp;G-2Yr'!AK60)*100</f>
        <v>3.8410063488294468</v>
      </c>
      <c r="H65" s="83">
        <f>('All Other E&amp;G-2Yr'!AK60+'Investment Income-2Yr'!AK60)/('Total E&amp;G-2Yr'!AK60)*100</f>
        <v>5.5668520921849023</v>
      </c>
      <c r="I65" s="83">
        <f t="shared" si="35"/>
        <v>3.996439041808955</v>
      </c>
      <c r="J65" s="83">
        <f t="shared" si="36"/>
        <v>0.92465019979869467</v>
      </c>
      <c r="K65" s="76">
        <f t="shared" si="37"/>
        <v>0.11029358088339869</v>
      </c>
      <c r="L65" s="83">
        <f t="shared" si="38"/>
        <v>-4.9471241906515573</v>
      </c>
      <c r="M65" s="76">
        <f t="shared" si="39"/>
        <v>-0.20202269728723321</v>
      </c>
      <c r="N65" s="83">
        <f t="shared" si="40"/>
        <v>0.11776406544773188</v>
      </c>
      <c r="O65" s="23"/>
      <c r="P65" s="10">
        <f>('Tuition-2Yr'!AF60/'Total E&amp;G-2Yr'!AF60)*100</f>
        <v>41.237673732852222</v>
      </c>
      <c r="Q65" s="10">
        <f>('State Appropriations-2Yr'!AF60/'Total E&amp;G-2Yr'!AF60)*100</f>
        <v>18.629528522429887</v>
      </c>
      <c r="R65" s="10">
        <f>IF((('Local Appropriations-2Yr'!AF60/'Total E&amp;G-2Yr'!AF60)*100)&gt;=0.005,('Local Appropriations-2Yr'!AF60/'Total E&amp;G-2Yr'!AF60)*100,"*")</f>
        <v>8.8401665050577307</v>
      </c>
      <c r="S65" s="10">
        <f>('Fed Contracts Grnts-2Yr'!AF60/'Total E&amp;G-2Yr'!AF60)*100</f>
        <v>21.80051416680633</v>
      </c>
      <c r="T65" s="10">
        <f>('Other Contracts Grnts-2Yr'!AF60/'Total E&amp;G-2Yr'!AF60)*100</f>
        <v>4.04302904611668</v>
      </c>
      <c r="U65" s="10">
        <f>IF(((('Investment Income-2Yr'!AF60+'All Other E&amp;G-2Yr'!AF60)/'Total E&amp;G-2Yr'!AF60)*100)&gt;=0.005,(('Investment Income-2Yr'!AF60+'All Other E&amp;G-2Yr'!AF60)/'Total E&amp;G-2Yr'!AF60)*100,"*")</f>
        <v>5.4490880267371704</v>
      </c>
      <c r="V65" s="10"/>
      <c r="W65" s="16">
        <f t="shared" si="1"/>
        <v>100.00000000000003</v>
      </c>
      <c r="X65" s="16">
        <f t="shared" si="2"/>
        <v>100.00000000000001</v>
      </c>
      <c r="Y65" s="1"/>
      <c r="Z65" s="109">
        <f t="shared" si="3"/>
        <v>27.469695027487617</v>
      </c>
      <c r="AA65" s="110">
        <f t="shared" si="14"/>
        <v>28.504638808169709</v>
      </c>
      <c r="AB65" s="109">
        <f t="shared" si="4"/>
        <v>25.843543212923009</v>
      </c>
      <c r="AC65" s="110">
        <f t="shared" si="5"/>
        <v>20.694396324984218</v>
      </c>
      <c r="AD65" s="109">
        <f t="shared" si="6"/>
        <v>100.00000000000003</v>
      </c>
      <c r="AE65" s="110">
        <f t="shared" si="7"/>
        <v>100</v>
      </c>
    </row>
    <row r="66" spans="1:31">
      <c r="A66" s="70" t="s">
        <v>72</v>
      </c>
      <c r="B66" s="70"/>
      <c r="C66" s="76">
        <f>('Tuition-2Yr'!AK61/'Total E&amp;G-2Yr'!AK61)*100</f>
        <v>39.068208484395321</v>
      </c>
      <c r="D66" s="83">
        <f>('State Appropriations-2Yr'!AK61)/('Total E&amp;G-2Yr'!AK61)*100</f>
        <v>32.204893019221252</v>
      </c>
      <c r="E66" s="76">
        <f>IF((('Local Appropriations-2Yr'!AK61/'Total E&amp;G-2Yr'!AK61)*100)=0,(('Local Appropriations-2Yr'!AK61/'Total E&amp;G-2Yr'!AK61)*100),IF((('Local Appropriations-2Yr'!AK61/'Total E&amp;G-2Yr'!AK61)*100)&gt;=0.005,('Local Appropriations-2Yr'!AK61/'Total E&amp;G-2Yr'!AK61)*100,"*"))</f>
        <v>0</v>
      </c>
      <c r="F66" s="83">
        <f>('Fed Contracts Grnts-2Yr'!AK61)/('Total E&amp;G-2Yr'!AK61)*100</f>
        <v>17.995080405187007</v>
      </c>
      <c r="G66" s="76">
        <f>('Other Contracts Grnts-2Yr'!AK61/'Total E&amp;G-2Yr'!AK61)*100</f>
        <v>8.1041845033400737</v>
      </c>
      <c r="H66" s="83">
        <f>('All Other E&amp;G-2Yr'!AK61+'Investment Income-2Yr'!AK61)/('Total E&amp;G-2Yr'!AK61)*100</f>
        <v>2.6276335878563204</v>
      </c>
      <c r="I66" s="83">
        <f t="shared" si="35"/>
        <v>0.49992793877822095</v>
      </c>
      <c r="J66" s="83">
        <f t="shared" si="36"/>
        <v>-0.11016907732761183</v>
      </c>
      <c r="K66" s="76">
        <f t="shared" si="37"/>
        <v>0</v>
      </c>
      <c r="L66" s="83">
        <f t="shared" si="38"/>
        <v>-6.0335885205691469</v>
      </c>
      <c r="M66" s="76">
        <f t="shared" si="39"/>
        <v>5.99340409550455</v>
      </c>
      <c r="N66" s="83">
        <f t="shared" si="40"/>
        <v>-0.34957443638602292</v>
      </c>
      <c r="O66" s="23"/>
      <c r="P66" s="10">
        <f>('Tuition-2Yr'!AF61/'Total E&amp;G-2Yr'!AF61)*100</f>
        <v>38.5682805456171</v>
      </c>
      <c r="Q66" s="10">
        <f>('State Appropriations-2Yr'!AF61/'Total E&amp;G-2Yr'!AF61)*100</f>
        <v>32.315062096548864</v>
      </c>
      <c r="R66" s="10" t="str">
        <f>IF((('Local Appropriations-2Yr'!AF61/'Total E&amp;G-2Yr'!AF61)*100)&gt;=0.005,('Local Appropriations-2Yr'!AF61/'Total E&amp;G-2Yr'!AF61)*100,"*")</f>
        <v>*</v>
      </c>
      <c r="S66" s="10">
        <f>('Fed Contracts Grnts-2Yr'!AF61/'Total E&amp;G-2Yr'!AF61)*100</f>
        <v>24.028668925756154</v>
      </c>
      <c r="T66" s="10">
        <f>('Other Contracts Grnts-2Yr'!AF61/'Total E&amp;G-2Yr'!AF61)*100</f>
        <v>2.1107804078355237</v>
      </c>
      <c r="U66" s="10">
        <f>IF(((('Investment Income-2Yr'!AF61+'All Other E&amp;G-2Yr'!AF61)/'Total E&amp;G-2Yr'!AF61)*100)&gt;=0.005,(('Investment Income-2Yr'!AF61+'All Other E&amp;G-2Yr'!AF61)/'Total E&amp;G-2Yr'!AF61)*100,"*")</f>
        <v>2.9772080242423433</v>
      </c>
      <c r="V66" s="10"/>
      <c r="W66" s="16">
        <f t="shared" si="1"/>
        <v>99.999999999999972</v>
      </c>
      <c r="X66" s="16">
        <f t="shared" si="2"/>
        <v>99.999999999999986</v>
      </c>
      <c r="Y66" s="1"/>
      <c r="Z66" s="109">
        <f t="shared" si="3"/>
        <v>32.315062096548864</v>
      </c>
      <c r="AA66" s="110">
        <f t="shared" si="14"/>
        <v>32.204893019221252</v>
      </c>
      <c r="AB66" s="109">
        <f t="shared" si="4"/>
        <v>26.139449333591678</v>
      </c>
      <c r="AC66" s="110">
        <f t="shared" si="5"/>
        <v>26.099264908527083</v>
      </c>
      <c r="AD66" s="109">
        <f t="shared" si="6"/>
        <v>99.999999999999986</v>
      </c>
      <c r="AE66" s="110">
        <f t="shared" si="7"/>
        <v>99.999999999999972</v>
      </c>
    </row>
    <row r="67" spans="1:31">
      <c r="A67" s="69" t="s">
        <v>73</v>
      </c>
      <c r="B67" s="69"/>
      <c r="C67" s="115">
        <f>('Tuition-2Yr'!AK62/'Total E&amp;G-2Yr'!AK62)*100</f>
        <v>59.934094049360709</v>
      </c>
      <c r="D67" s="82">
        <f>('State Appropriations-2Yr'!AK62)/('Total E&amp;G-2Yr'!AK62)*100</f>
        <v>13.571592594599702</v>
      </c>
      <c r="E67" s="115">
        <f>IF((('Local Appropriations-2Yr'!AK62/'Total E&amp;G-2Yr'!AK62)*100)=0,(('Local Appropriations-2Yr'!AK62/'Total E&amp;G-2Yr'!AK62)*100),IF((('Local Appropriations-2Yr'!AK62/'Total E&amp;G-2Yr'!AK62)*100)&gt;=0.005,('Local Appropriations-2Yr'!AK62/'Total E&amp;G-2Yr'!AK62)*100,"*"))</f>
        <v>0</v>
      </c>
      <c r="F67" s="82">
        <f>('Fed Contracts Grnts-2Yr'!AK62)/('Total E&amp;G-2Yr'!AK62)*100</f>
        <v>21.440951754189676</v>
      </c>
      <c r="G67" s="115">
        <f>('Other Contracts Grnts-2Yr'!AK62/'Total E&amp;G-2Yr'!AK62)*100</f>
        <v>4.4426376626109869</v>
      </c>
      <c r="H67" s="117">
        <f>('All Other E&amp;G-2Yr'!AK62+'Investment Income-2Yr'!AK62)/('Total E&amp;G-2Yr'!AK62)*100</f>
        <v>0.61072393923894863</v>
      </c>
      <c r="I67" s="82">
        <f t="shared" si="35"/>
        <v>2.4768938858420029</v>
      </c>
      <c r="J67" s="82">
        <f t="shared" si="36"/>
        <v>-2.0367906481094273</v>
      </c>
      <c r="K67" s="78">
        <f t="shared" si="37"/>
        <v>0</v>
      </c>
      <c r="L67" s="82">
        <f t="shared" si="38"/>
        <v>-0.85434802482571826</v>
      </c>
      <c r="M67" s="78">
        <f t="shared" si="39"/>
        <v>1.7165548633183656</v>
      </c>
      <c r="N67" s="82">
        <f t="shared" si="40"/>
        <v>-1.3023100762252167</v>
      </c>
      <c r="O67" s="23"/>
      <c r="P67" s="10">
        <f>('Tuition-2Yr'!AF62/'Total E&amp;G-2Yr'!AF62)*100</f>
        <v>57.457200163518706</v>
      </c>
      <c r="Q67" s="10">
        <f>('State Appropriations-2Yr'!AF62/'Total E&amp;G-2Yr'!AF62)*100</f>
        <v>15.608383242709129</v>
      </c>
      <c r="R67" s="10" t="str">
        <f>IF((('Local Appropriations-2Yr'!AF62/'Total E&amp;G-2Yr'!AF62)*100)&gt;=0.005,('Local Appropriations-2Yr'!AF62/'Total E&amp;G-2Yr'!AF62)*100,"*")</f>
        <v>*</v>
      </c>
      <c r="S67" s="10">
        <f>('Fed Contracts Grnts-2Yr'!AF62/'Total E&amp;G-2Yr'!AF62)*100</f>
        <v>22.295299779015394</v>
      </c>
      <c r="T67" s="10">
        <f>('Other Contracts Grnts-2Yr'!AF62/'Total E&amp;G-2Yr'!AF62)*100</f>
        <v>2.7260827992926213</v>
      </c>
      <c r="U67" s="10">
        <f>IF(((('Investment Income-2Yr'!AF62+'All Other E&amp;G-2Yr'!AF62)/'Total E&amp;G-2Yr'!AF62)*100)&gt;=0.005,(('Investment Income-2Yr'!AF62+'All Other E&amp;G-2Yr'!AF62)/'Total E&amp;G-2Yr'!AF62)*100,"*")</f>
        <v>1.9130340154641652</v>
      </c>
      <c r="V67" s="10"/>
      <c r="W67" s="16">
        <f t="shared" si="1"/>
        <v>100.00000000000001</v>
      </c>
      <c r="X67" s="16">
        <f t="shared" si="2"/>
        <v>100.00000000000004</v>
      </c>
      <c r="Y67" s="1"/>
      <c r="Z67" s="109">
        <f t="shared" si="3"/>
        <v>15.608383242709129</v>
      </c>
      <c r="AA67" s="110">
        <f t="shared" si="14"/>
        <v>13.571592594599702</v>
      </c>
      <c r="AB67" s="109">
        <f t="shared" si="4"/>
        <v>25.021382578308014</v>
      </c>
      <c r="AC67" s="110">
        <f t="shared" si="5"/>
        <v>25.883589416800664</v>
      </c>
      <c r="AD67" s="109">
        <f t="shared" si="6"/>
        <v>100.00000000000001</v>
      </c>
      <c r="AE67" s="110">
        <f t="shared" si="7"/>
        <v>100.00000000000003</v>
      </c>
    </row>
    <row r="68" spans="1:31">
      <c r="A68" s="53" t="s">
        <v>74</v>
      </c>
      <c r="B68" s="69"/>
      <c r="C68" s="78" t="s">
        <v>86</v>
      </c>
      <c r="D68" s="82" t="s">
        <v>86</v>
      </c>
      <c r="E68" s="78" t="s">
        <v>86</v>
      </c>
      <c r="F68" s="82" t="s">
        <v>86</v>
      </c>
      <c r="G68" s="78" t="s">
        <v>86</v>
      </c>
      <c r="H68" s="82" t="s">
        <v>86</v>
      </c>
      <c r="I68" s="82" t="s">
        <v>86</v>
      </c>
      <c r="J68" s="82" t="s">
        <v>86</v>
      </c>
      <c r="K68" s="78" t="s">
        <v>86</v>
      </c>
      <c r="L68" s="82" t="s">
        <v>86</v>
      </c>
      <c r="M68" s="78" t="s">
        <v>86</v>
      </c>
      <c r="N68" s="82" t="s">
        <v>86</v>
      </c>
      <c r="O68" s="23"/>
      <c r="P68" s="10" t="e">
        <f>('Tuition-2Yr'!Z63/'Total E&amp;G-2Yr'!Z63)*100</f>
        <v>#DIV/0!</v>
      </c>
      <c r="Q68" s="10" t="e">
        <f>('State Appropriations-2Yr'!Z63/'Total E&amp;G-2Yr'!Z63)*100</f>
        <v>#DIV/0!</v>
      </c>
      <c r="R68" s="10" t="e">
        <f>IF((('Local Appropriations-2Yr'!Z63/'Total E&amp;G-2Yr'!Z63)*100)&gt;=0.005,('Local Appropriations-2Yr'!Z63/'Total E&amp;G-2Yr'!Z63)*100,"*")</f>
        <v>#DIV/0!</v>
      </c>
      <c r="S68" s="10" t="e">
        <f>('Fed Contracts Grnts-2Yr'!Z63/'Total E&amp;G-2Yr'!Z63)*100</f>
        <v>#DIV/0!</v>
      </c>
      <c r="T68" s="10" t="e">
        <f>('Other Contracts Grnts-2Yr'!Z63/'Total E&amp;G-2Yr'!Z63)*100</f>
        <v>#DIV/0!</v>
      </c>
      <c r="U68" s="10" t="e">
        <f>IF(((('Investment Income-2Yr'!Z63+'All Other E&amp;G-2Yr'!Z63)/'Total E&amp;G-2Yr'!Z63)*100)&gt;=0.005,(('Investment Income-2Yr'!Z63+'All Other E&amp;G-2Yr'!Z63)/'Total E&amp;G-2Yr'!Z63)*100,"*")</f>
        <v>#DIV/0!</v>
      </c>
      <c r="V68" s="10"/>
      <c r="W68" s="16" t="e">
        <f t="shared" si="1"/>
        <v>#DIV/0!</v>
      </c>
      <c r="X68" s="16">
        <f t="shared" si="2"/>
        <v>0</v>
      </c>
      <c r="Y68" s="1"/>
      <c r="Z68" s="111" t="e">
        <f t="shared" si="3"/>
        <v>#DIV/0!</v>
      </c>
      <c r="AA68" s="112">
        <f t="shared" si="14"/>
        <v>0</v>
      </c>
      <c r="AB68" s="111" t="e">
        <f t="shared" si="4"/>
        <v>#DIV/0!</v>
      </c>
      <c r="AC68" s="112">
        <f t="shared" si="5"/>
        <v>0</v>
      </c>
      <c r="AD68" s="111" t="e">
        <f t="shared" si="6"/>
        <v>#DIV/0!</v>
      </c>
      <c r="AE68" s="112">
        <f t="shared" si="7"/>
        <v>0</v>
      </c>
    </row>
    <row r="69" spans="1:31">
      <c r="A69" s="1"/>
      <c r="B69" s="1"/>
      <c r="C69" s="37"/>
      <c r="D69" s="37"/>
      <c r="E69" s="37"/>
      <c r="F69" s="37"/>
      <c r="G69" s="37"/>
      <c r="H69" s="37"/>
      <c r="I69" s="37"/>
      <c r="J69" s="37"/>
      <c r="K69" s="37"/>
      <c r="L69" s="37"/>
      <c r="M69" s="37"/>
      <c r="N69" s="37"/>
      <c r="O69" s="23"/>
      <c r="P69" s="10"/>
      <c r="Q69" s="10"/>
      <c r="R69" s="10"/>
      <c r="S69" s="10"/>
      <c r="T69" s="10"/>
      <c r="U69" s="10"/>
      <c r="V69" s="10"/>
      <c r="W69" s="16"/>
      <c r="X69" s="16"/>
      <c r="Y69" s="1"/>
      <c r="Z69" s="1"/>
      <c r="AA69" s="1"/>
      <c r="AB69" s="1"/>
      <c r="AC69" s="1"/>
      <c r="AD69" s="1"/>
      <c r="AE69" s="1"/>
    </row>
    <row r="70" spans="1:31" ht="15.75" customHeight="1">
      <c r="B70" s="35"/>
      <c r="C70" s="13"/>
      <c r="D70" s="1"/>
      <c r="F70" s="1"/>
      <c r="G70" s="1"/>
      <c r="H70" s="1"/>
      <c r="K70" s="14"/>
      <c r="L70" s="1"/>
      <c r="M70" s="1"/>
      <c r="N70" s="1"/>
      <c r="O70" s="23"/>
      <c r="P70" s="87" t="s">
        <v>87</v>
      </c>
      <c r="Q70" s="1"/>
      <c r="R70" s="1"/>
      <c r="S70" s="1"/>
      <c r="T70" s="1"/>
      <c r="U70" s="1"/>
      <c r="V70" s="1"/>
      <c r="W70" s="16"/>
      <c r="X70" s="16"/>
      <c r="Y70" s="1"/>
      <c r="Z70" s="1"/>
      <c r="AA70" s="1"/>
      <c r="AB70" s="1"/>
      <c r="AC70" s="1"/>
      <c r="AD70" s="1"/>
    </row>
    <row r="71" spans="1:31" ht="28.5" customHeight="1">
      <c r="A71" s="167" t="s">
        <v>88</v>
      </c>
      <c r="B71" s="167"/>
      <c r="C71" s="167"/>
      <c r="D71" s="167"/>
      <c r="E71" s="167"/>
      <c r="F71" s="167"/>
      <c r="G71" s="167"/>
      <c r="H71" s="167"/>
      <c r="I71" s="97" t="s">
        <v>89</v>
      </c>
      <c r="J71" s="162" t="s">
        <v>90</v>
      </c>
      <c r="K71" s="166"/>
      <c r="L71" s="166"/>
      <c r="M71" s="166"/>
      <c r="N71" s="166"/>
      <c r="O71" s="23"/>
      <c r="P71" s="1"/>
      <c r="Q71" s="1"/>
      <c r="R71" s="1"/>
      <c r="S71" s="1"/>
      <c r="T71" s="1"/>
      <c r="U71" s="1"/>
      <c r="V71" s="1"/>
      <c r="W71" s="16"/>
      <c r="X71" s="16"/>
      <c r="Y71" s="1"/>
      <c r="Z71" s="1"/>
      <c r="AA71" s="1"/>
      <c r="AB71" s="1"/>
      <c r="AC71" s="1"/>
      <c r="AD71" s="1"/>
    </row>
    <row r="72" spans="1:31">
      <c r="B72" s="35"/>
      <c r="C72" s="13"/>
      <c r="D72" s="1"/>
      <c r="F72" s="1"/>
      <c r="G72" s="1"/>
      <c r="H72" s="1"/>
      <c r="J72" s="41"/>
      <c r="K72" s="99"/>
      <c r="L72" s="98"/>
      <c r="M72" s="98"/>
      <c r="N72" s="98"/>
      <c r="O72" s="23"/>
      <c r="P72" s="1"/>
      <c r="Q72" s="1"/>
      <c r="R72" s="1"/>
      <c r="S72" s="1"/>
      <c r="T72" s="1"/>
      <c r="U72" s="1"/>
      <c r="V72" s="1"/>
      <c r="W72" s="1"/>
      <c r="X72" s="1"/>
      <c r="Y72" s="1"/>
      <c r="Z72" s="1"/>
      <c r="AA72" s="1"/>
      <c r="AB72" s="1"/>
      <c r="AC72" s="1"/>
      <c r="AD72" s="1"/>
      <c r="AE72" s="1"/>
    </row>
    <row r="73" spans="1:31" ht="120.75" customHeight="1">
      <c r="A73" s="160" t="s">
        <v>75</v>
      </c>
      <c r="B73" s="161"/>
      <c r="C73" s="161"/>
      <c r="D73" s="161"/>
      <c r="E73" s="161"/>
      <c r="F73" s="161"/>
      <c r="G73" s="161"/>
      <c r="H73" s="161"/>
      <c r="K73" s="14"/>
      <c r="L73" s="1"/>
      <c r="M73" s="1"/>
      <c r="N73" s="1"/>
      <c r="O73" s="23"/>
      <c r="P73" s="1"/>
      <c r="Q73" s="1"/>
      <c r="R73" s="1"/>
      <c r="S73" s="1"/>
      <c r="T73" s="1"/>
      <c r="U73" s="1"/>
      <c r="V73" s="1"/>
      <c r="W73" s="1"/>
      <c r="X73" s="1"/>
      <c r="Y73" s="1"/>
      <c r="Z73" s="1"/>
      <c r="AA73" s="1"/>
      <c r="AB73" s="1"/>
      <c r="AC73" s="1"/>
      <c r="AD73" s="1"/>
      <c r="AE73" s="1"/>
    </row>
    <row r="74" spans="1:31" ht="15.75" customHeight="1">
      <c r="A74" s="160" t="s">
        <v>91</v>
      </c>
      <c r="B74" s="161"/>
      <c r="C74" s="161"/>
      <c r="D74" s="161"/>
      <c r="E74" s="161"/>
      <c r="F74" s="161"/>
      <c r="G74" s="161"/>
      <c r="H74" s="161"/>
      <c r="K74" s="14"/>
      <c r="L74" s="1"/>
      <c r="M74" s="1"/>
      <c r="N74" s="1"/>
      <c r="O74" s="1"/>
      <c r="P74" s="1"/>
      <c r="Q74" s="1"/>
      <c r="R74" s="1"/>
      <c r="S74" s="1"/>
      <c r="T74" s="1"/>
      <c r="U74" s="1"/>
      <c r="V74" s="1"/>
      <c r="W74" s="1"/>
      <c r="X74" s="1"/>
      <c r="Y74" s="1"/>
      <c r="Z74" s="1"/>
      <c r="AA74" s="1"/>
      <c r="AB74" s="1"/>
      <c r="AC74" s="1"/>
      <c r="AD74" s="1"/>
      <c r="AE74" s="1"/>
    </row>
    <row r="75" spans="1:31" ht="39.75" customHeight="1">
      <c r="A75" s="160" t="s">
        <v>77</v>
      </c>
      <c r="B75" s="161"/>
      <c r="C75" s="161"/>
      <c r="D75" s="161"/>
      <c r="E75" s="161"/>
      <c r="F75" s="161"/>
      <c r="G75" s="161"/>
      <c r="H75" s="161"/>
      <c r="K75" s="1"/>
      <c r="L75" s="1"/>
      <c r="M75" s="1"/>
      <c r="N75" s="1"/>
      <c r="O75" s="1"/>
      <c r="P75" s="1"/>
      <c r="Q75" s="1"/>
      <c r="R75" s="1"/>
      <c r="S75" s="1"/>
      <c r="T75" s="1"/>
      <c r="U75" s="1"/>
      <c r="V75" s="1"/>
      <c r="W75" s="1"/>
      <c r="X75" s="1"/>
      <c r="Y75" s="1"/>
      <c r="Z75" s="1"/>
      <c r="AA75" s="1"/>
      <c r="AB75" s="1"/>
      <c r="AC75" s="1"/>
      <c r="AD75" s="1"/>
      <c r="AE75" s="1"/>
    </row>
    <row r="76" spans="1:31">
      <c r="N76" s="121" t="s">
        <v>79</v>
      </c>
      <c r="O76" s="33"/>
      <c r="P76" s="33"/>
      <c r="Q76" s="33"/>
      <c r="R76" s="33"/>
      <c r="S76" s="33"/>
      <c r="T76" s="33"/>
      <c r="U76" s="33"/>
      <c r="V76" s="33"/>
    </row>
    <row r="77" spans="1:31">
      <c r="A77" s="32"/>
      <c r="B77" s="32"/>
      <c r="O77" s="33"/>
      <c r="P77" s="33"/>
      <c r="Q77" s="33"/>
      <c r="R77" s="33"/>
      <c r="S77" s="33"/>
      <c r="T77" s="33"/>
      <c r="U77" s="33"/>
      <c r="V77" s="33"/>
    </row>
    <row r="79" spans="1:31">
      <c r="Y79" s="156"/>
    </row>
  </sheetData>
  <mergeCells count="8">
    <mergeCell ref="Q7:R7"/>
    <mergeCell ref="A73:H73"/>
    <mergeCell ref="A74:H74"/>
    <mergeCell ref="A75:H75"/>
    <mergeCell ref="J71:N71"/>
    <mergeCell ref="A71:H71"/>
    <mergeCell ref="C7:C8"/>
    <mergeCell ref="I7:I8"/>
  </mergeCells>
  <phoneticPr fontId="8" type="noConversion"/>
  <printOptions horizontalCentered="1"/>
  <pageMargins left="1" right="1" top="0.75" bottom="0.55000000000000004" header="0.5" footer="0.4"/>
  <pageSetup scale="60" orientation="portrait" verticalDpi="300" r:id="rId1"/>
  <headerFooter alignWithMargins="0">
    <oddFooter>&amp;L&amp;"Arial,Regular"SREB Fact Book&amp;R&amp;"Arial,Regular"&amp;D</oddFooter>
  </headerFooter>
  <colBreaks count="1" manualBreakCount="1">
    <brk id="23" max="3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1">
    <tabColor indexed="58"/>
  </sheetPr>
  <dimension ref="A1:HE92"/>
  <sheetViews>
    <sheetView showZeros="0" zoomScaleNormal="100" workbookViewId="0">
      <pane xSplit="1" ySplit="3" topLeftCell="T4" activePane="bottomRight" state="frozen"/>
      <selection pane="topRight" activeCell="O44" sqref="O44"/>
      <selection pane="bottomLeft" activeCell="O44" sqref="O44"/>
      <selection pane="bottomRight" activeCell="AL2" sqref="AL1:AL2"/>
    </sheetView>
  </sheetViews>
  <sheetFormatPr defaultColWidth="9.7109375" defaultRowHeight="12.75"/>
  <cols>
    <col min="1" max="1" width="19.5703125" style="1" bestFit="1" customWidth="1"/>
    <col min="2" max="21" width="13.85546875" style="1" customWidth="1"/>
    <col min="22" max="25" width="13.85546875" style="10" customWidth="1"/>
    <col min="26" max="26" width="11.85546875" style="1" bestFit="1" customWidth="1"/>
    <col min="27" max="28" width="12" style="1" customWidth="1"/>
    <col min="29" max="32" width="11.7109375" style="1" bestFit="1" customWidth="1"/>
    <col min="33" max="33" width="11.7109375" style="1" customWidth="1"/>
    <col min="34" max="34" width="11.7109375" style="1" bestFit="1" customWidth="1"/>
    <col min="35" max="35" width="14.42578125" style="1" bestFit="1" customWidth="1"/>
    <col min="36" max="36" width="9.7109375" style="1"/>
    <col min="37" max="37" width="15.42578125" style="1" bestFit="1" customWidth="1"/>
    <col min="38" max="38" width="13.42578125" style="1" bestFit="1" customWidth="1"/>
    <col min="39" max="177" width="9.7109375" style="1"/>
    <col min="178" max="178" width="11.7109375" style="1" customWidth="1"/>
    <col min="179" max="202" width="9.7109375" style="1"/>
    <col min="203" max="203" width="5.7109375" style="1" customWidth="1"/>
    <col min="204" max="204" width="6.7109375" style="1" customWidth="1"/>
    <col min="205" max="206" width="8.7109375" style="1" customWidth="1"/>
    <col min="207" max="208" width="6.7109375" style="1" customWidth="1"/>
    <col min="209" max="210" width="8.7109375" style="1" customWidth="1"/>
    <col min="211" max="212" width="6.7109375" style="1" customWidth="1"/>
    <col min="213" max="213" width="1.7109375" style="1" customWidth="1"/>
    <col min="214" max="16384" width="9.7109375" style="1"/>
  </cols>
  <sheetData>
    <row r="1" spans="1:37">
      <c r="A1" s="11" t="s">
        <v>92</v>
      </c>
      <c r="B1" s="11"/>
      <c r="C1" s="11"/>
      <c r="D1" s="11"/>
      <c r="E1" s="11"/>
      <c r="F1" s="11"/>
      <c r="G1" s="11"/>
      <c r="H1" s="11"/>
      <c r="I1" s="11"/>
      <c r="J1" s="11"/>
      <c r="K1" s="11"/>
      <c r="Z1" s="10"/>
      <c r="AA1" s="10"/>
      <c r="AB1" s="10"/>
      <c r="AC1" s="10"/>
      <c r="AD1" s="10"/>
      <c r="AI1" s="1">
        <f>AI2*0.01</f>
        <v>902480487.68000019</v>
      </c>
      <c r="AK1" s="1">
        <f>AK2*0.01</f>
        <v>1034023520.86</v>
      </c>
    </row>
    <row r="2" spans="1:37">
      <c r="A2" s="57" t="s">
        <v>93</v>
      </c>
      <c r="B2" s="11"/>
      <c r="C2" s="11"/>
      <c r="D2" s="11"/>
      <c r="E2" s="11"/>
      <c r="F2" s="11"/>
      <c r="G2" s="11"/>
      <c r="H2" s="11"/>
      <c r="I2" s="11"/>
      <c r="J2" s="11"/>
      <c r="K2" s="11"/>
      <c r="Z2" s="10"/>
      <c r="AA2" s="10"/>
      <c r="AB2" s="10"/>
      <c r="AC2" s="10"/>
      <c r="AD2" s="10"/>
      <c r="AI2" s="1">
        <f>AI5*1000</f>
        <v>90248048768.000015</v>
      </c>
      <c r="AK2" s="1">
        <f>AK5*1000</f>
        <v>103402352086</v>
      </c>
    </row>
    <row r="3" spans="1:37">
      <c r="B3" s="43">
        <v>1984</v>
      </c>
      <c r="C3" s="43">
        <v>1985</v>
      </c>
      <c r="D3" s="43">
        <v>1986</v>
      </c>
      <c r="E3" s="43">
        <v>1987</v>
      </c>
      <c r="F3" s="43">
        <v>1988</v>
      </c>
      <c r="G3" s="43">
        <v>1989</v>
      </c>
      <c r="H3" s="31">
        <v>1990</v>
      </c>
      <c r="I3" s="31">
        <v>1991</v>
      </c>
      <c r="J3" s="31">
        <v>1992</v>
      </c>
      <c r="K3" s="31">
        <v>1993</v>
      </c>
      <c r="L3" s="31">
        <v>1994</v>
      </c>
      <c r="M3" s="31">
        <v>1995</v>
      </c>
      <c r="N3" s="31">
        <v>1996</v>
      </c>
      <c r="O3" s="31">
        <v>1997</v>
      </c>
      <c r="P3" s="31">
        <v>1998</v>
      </c>
      <c r="Q3" s="31">
        <v>1999</v>
      </c>
      <c r="R3" s="31">
        <v>2000</v>
      </c>
      <c r="S3" s="50">
        <v>2001</v>
      </c>
      <c r="T3" s="31">
        <v>2002</v>
      </c>
      <c r="U3" s="31">
        <v>2003</v>
      </c>
      <c r="V3" s="31">
        <v>2004</v>
      </c>
      <c r="W3" s="31">
        <v>2005</v>
      </c>
      <c r="X3" s="31">
        <v>2006</v>
      </c>
      <c r="Y3" s="31">
        <v>2007</v>
      </c>
      <c r="Z3" s="31">
        <v>2008</v>
      </c>
      <c r="AA3" s="31">
        <v>2009</v>
      </c>
      <c r="AB3" s="31">
        <v>2010</v>
      </c>
      <c r="AC3" s="31">
        <v>2011</v>
      </c>
      <c r="AD3" s="32">
        <v>2012</v>
      </c>
      <c r="AE3" s="32">
        <v>2013</v>
      </c>
      <c r="AF3" s="32">
        <v>2014</v>
      </c>
      <c r="AG3" s="32">
        <v>2015</v>
      </c>
      <c r="AH3" s="131">
        <v>2016</v>
      </c>
      <c r="AI3" s="131">
        <v>2017</v>
      </c>
      <c r="AJ3" s="131">
        <v>2018</v>
      </c>
      <c r="AK3" s="131">
        <v>2019</v>
      </c>
    </row>
    <row r="4" spans="1:37" ht="12.75" customHeight="1">
      <c r="A4" s="53" t="s">
        <v>19</v>
      </c>
      <c r="B4" s="60">
        <f>+'Tuition-4Yr'!B4+'State Appropriations-4Yr'!B4+'Local Appropriations-4Yr'!B4+'Fed Contracts Grnts-4Yr'!B4+'Other Contract Grnts-4Yr'!B4+'Investment Income-4Yr'!B4+'All Other E&amp;G-4Yr'!B4</f>
        <v>36491253</v>
      </c>
      <c r="C4" s="60">
        <f>+'Tuition-4Yr'!C4+'State Appropriations-4Yr'!C4+'Local Appropriations-4Yr'!C4+'Fed Contracts Grnts-4Yr'!C4+'Other Contract Grnts-4Yr'!C4+'Investment Income-4Yr'!C4+'All Other E&amp;G-4Yr'!C4</f>
        <v>40526566</v>
      </c>
      <c r="D4" s="60">
        <f>+'Tuition-4Yr'!D4+'State Appropriations-4Yr'!D4+'Local Appropriations-4Yr'!D4+'Fed Contracts Grnts-4Yr'!D4+'Other Contract Grnts-4Yr'!D4+'Investment Income-4Yr'!D4+'All Other E&amp;G-4Yr'!D4</f>
        <v>44270393</v>
      </c>
      <c r="E4" s="60">
        <f>+'Tuition-4Yr'!E4+'State Appropriations-4Yr'!E4+'Local Appropriations-4Yr'!E4+'Fed Contracts Grnts-4Yr'!E4+'Other Contract Grnts-4Yr'!E4+'Investment Income-4Yr'!E4+'All Other E&amp;G-4Yr'!E4</f>
        <v>0</v>
      </c>
      <c r="F4" s="60">
        <f>+'Tuition-4Yr'!F4+'State Appropriations-4Yr'!F4+'Local Appropriations-4Yr'!F4+'Fed Contracts Grnts-4Yr'!F4+'Other Contract Grnts-4Yr'!F4+'Investment Income-4Yr'!F4+'All Other E&amp;G-4Yr'!F4</f>
        <v>0</v>
      </c>
      <c r="G4" s="60">
        <f>+'Tuition-4Yr'!G4+'State Appropriations-4Yr'!G4+'Local Appropriations-4Yr'!G4+'Fed Contracts Grnts-4Yr'!G4+'Other Contract Grnts-4Yr'!G4+'Investment Income-4Yr'!G4+'All Other E&amp;G-4Yr'!G4</f>
        <v>0</v>
      </c>
      <c r="H4" s="60">
        <f>+'Tuition-4Yr'!H4+'State Appropriations-4Yr'!H4+'Local Appropriations-4Yr'!H4+'Fed Contracts Grnts-4Yr'!H4+'Other Contract Grnts-4Yr'!H4+'Investment Income-4Yr'!H4+'All Other E&amp;G-4Yr'!H4</f>
        <v>0</v>
      </c>
      <c r="I4" s="60">
        <f>+'Tuition-4Yr'!I4+'State Appropriations-4Yr'!I4+'Local Appropriations-4Yr'!I4+'Fed Contracts Grnts-4Yr'!I4+'Other Contract Grnts-4Yr'!I4+'Investment Income-4Yr'!I4+'All Other E&amp;G-4Yr'!I4</f>
        <v>61124263.238000005</v>
      </c>
      <c r="J4" s="60">
        <f>+'Tuition-4Yr'!J4+'State Appropriations-4Yr'!J4+'Local Appropriations-4Yr'!J4+'Fed Contracts Grnts-4Yr'!J4+'Other Contract Grnts-4Yr'!J4+'Investment Income-4Yr'!J4+'All Other E&amp;G-4Yr'!J4</f>
        <v>63588786.758999996</v>
      </c>
      <c r="K4" s="60">
        <f>+'Tuition-4Yr'!K4+'State Appropriations-4Yr'!K4+'Local Appropriations-4Yr'!K4+'Fed Contracts Grnts-4Yr'!K4+'Other Contract Grnts-4Yr'!K4+'Investment Income-4Yr'!K4+'All Other E&amp;G-4Yr'!K4</f>
        <v>68577157.089333341</v>
      </c>
      <c r="L4" s="60">
        <f>+'Tuition-4Yr'!L4+'State Appropriations-4Yr'!L4+'Local Appropriations-4Yr'!L4+'Fed Contracts Grnts-4Yr'!L4+'Other Contract Grnts-4Yr'!L4+'Investment Income-4Yr'!L4+'All Other E&amp;G-4Yr'!L4</f>
        <v>71199254.301666677</v>
      </c>
      <c r="M4" s="60">
        <f>+'Tuition-4Yr'!M4+'State Appropriations-4Yr'!M4+'Local Appropriations-4Yr'!M4+'Fed Contracts Grnts-4Yr'!M4+'Other Contract Grnts-4Yr'!M4+'Investment Income-4Yr'!M4+'All Other E&amp;G-4Yr'!M4</f>
        <v>73659002.187000006</v>
      </c>
      <c r="N4" s="60">
        <f>+'Tuition-4Yr'!N4+'State Appropriations-4Yr'!N4+'Local Appropriations-4Yr'!N4+'Fed Contracts Grnts-4Yr'!N4+'Other Contract Grnts-4Yr'!N4+'Investment Income-4Yr'!N4+'All Other E&amp;G-4Yr'!N4</f>
        <v>80143217.048749998</v>
      </c>
      <c r="O4" s="60">
        <f>+'Tuition-4Yr'!O4+'State Appropriations-4Yr'!O4+'Local Appropriations-4Yr'!O4+'Fed Contracts Grnts-4Yr'!O4+'Other Contract Grnts-4Yr'!O4+'Investment Income-4Yr'!O4+'All Other E&amp;G-4Yr'!O4</f>
        <v>83891295.351650015</v>
      </c>
      <c r="P4" s="60">
        <f>+'Tuition-4Yr'!P4+'State Appropriations-4Yr'!P4+'Local Appropriations-4Yr'!P4+'Fed Contracts Grnts-4Yr'!P4+'Other Contract Grnts-4Yr'!P4+'Investment Income-4Yr'!P4+'All Other E&amp;G-4Yr'!P4</f>
        <v>0</v>
      </c>
      <c r="Q4" s="60">
        <f>+'Tuition-4Yr'!Q4+'State Appropriations-4Yr'!Q4+'Local Appropriations-4Yr'!Q4+'Fed Contracts Grnts-4Yr'!Q4+'Other Contract Grnts-4Yr'!Q4+'Investment Income-4Yr'!Q4+'All Other E&amp;G-4Yr'!Q4</f>
        <v>0</v>
      </c>
      <c r="R4" s="60">
        <f>+'Tuition-4Yr'!R4+'State Appropriations-4Yr'!R4+'Local Appropriations-4Yr'!R4+'Fed Contracts Grnts-4Yr'!R4+'Other Contract Grnts-4Yr'!R4+'Investment Income-4Yr'!R4+'All Other E&amp;G-4Yr'!R4</f>
        <v>99515081.333000004</v>
      </c>
      <c r="S4" s="60">
        <f>+'Tuition-4Yr'!S4+'State Appropriations-4Yr'!S4+'Local Appropriations-4Yr'!S4+'Fed Contracts Grnts-4Yr'!S4+'Other Contract Grnts-4Yr'!S4+'Investment Income-4Yr'!S4+'All Other E&amp;G-4Yr'!S4</f>
        <v>106654948.51900001</v>
      </c>
      <c r="T4" s="60">
        <f>+'Tuition-4Yr'!T4+'State Appropriations-4Yr'!T4+'Local Appropriations-4Yr'!T4+'Fed Contracts Grnts-4Yr'!T4+'Other Contract Grnts-4Yr'!T4+'Investment Income-4Yr'!T4+'All Other E&amp;G-4Yr'!T4</f>
        <v>112977950.25299999</v>
      </c>
      <c r="U4" s="60">
        <f>+'Tuition-4Yr'!U4+'State Appropriations-4Yr'!U4+'Local Appropriations-4Yr'!U4+'Fed Contracts Grnts-4Yr'!U4+'Other Contract Grnts-4Yr'!U4+'Investment Income-4Yr'!U4+'All Other E&amp;G-4Yr'!U4</f>
        <v>114591805.03700002</v>
      </c>
      <c r="V4" s="60">
        <f>+'Tuition-4Yr'!V4+'State Appropriations-4Yr'!V4+'Local Appropriations-4Yr'!V4+'Fed Contracts Grnts-4Yr'!V4+'Other Contract Grnts-4Yr'!V4+'Investment Income-4Yr'!V4+'All Other E&amp;G-4Yr'!V4</f>
        <v>122312798.13999999</v>
      </c>
      <c r="W4" s="60">
        <f>+'Tuition-4Yr'!W4+'State Appropriations-4Yr'!W4+'Local Appropriations-4Yr'!W4+'Fed Contracts Grnts-4Yr'!W4+'Other Contract Grnts-4Yr'!W4+'Investment Income-4Yr'!W4+'All Other E&amp;G-4Yr'!W4</f>
        <v>139493848.81</v>
      </c>
      <c r="X4" s="60">
        <f>+'Tuition-4Yr'!X4+'State Appropriations-4Yr'!X4+'Local Appropriations-4Yr'!X4+'Fed Contracts Grnts-4Yr'!X4+'Other Contract Grnts-4Yr'!X4+'Investment Income-4Yr'!X4+'All Other E&amp;G-4Yr'!X4</f>
        <v>137849921.28600001</v>
      </c>
      <c r="Y4" s="60">
        <f>+'Tuition-4Yr'!Y4+'State Appropriations-4Yr'!Y4+'Local Appropriations-4Yr'!Y4+'Fed Contracts Grnts-4Yr'!Y4+'Other Contract Grnts-4Yr'!Y4+'Investment Income-4Yr'!Y4+'All Other E&amp;G-4Yr'!Y4</f>
        <v>150844542.5</v>
      </c>
      <c r="Z4" s="60">
        <f>+'Tuition-4Yr'!Z4+'State Appropriations-4Yr'!Z4+'Local Appropriations-4Yr'!Z4+'Fed Contracts Grnts-4Yr'!Z4+'Other Contract Grnts-4Yr'!Z4+'Investment Income-4Yr'!Z4+'All Other E&amp;G-4Yr'!Z4</f>
        <v>152899003.60999998</v>
      </c>
      <c r="AA4" s="60">
        <f>+'Tuition-4Yr'!AA4+'State Appropriations-4Yr'!AA4+'Local Appropriations-4Yr'!AA4+'Fed Contracts Grnts-4Yr'!AA4+'Other Contract Grnts-4Yr'!AA4+'Investment Income-4Yr'!AA4+'All Other E&amp;G-4Yr'!AA4</f>
        <v>143200059.96799999</v>
      </c>
      <c r="AB4" s="60">
        <f>+'Tuition-4Yr'!AB4+'State Appropriations-4Yr'!AB4+'Local Appropriations-4Yr'!AB4+'Fed Contracts Grnts-4Yr'!AB4+'Other Contract Grnts-4Yr'!AB4+'Investment Income-4Yr'!AB4+'All Other E&amp;G-4Yr'!AB4</f>
        <v>182093018.59599999</v>
      </c>
      <c r="AC4" s="60">
        <f>+'Tuition-4Yr'!AC4+'State Appropriations-4Yr'!AC4+'Local Appropriations-4Yr'!AC4+'Fed Contracts Grnts-4Yr'!AC4+'Other Contract Grnts-4Yr'!AC4+'Investment Income-4Yr'!AC4+'All Other E&amp;G-4Yr'!AC4</f>
        <v>195153290</v>
      </c>
      <c r="AD4" s="60">
        <f>+'Tuition-4Yr'!AD4+'State Appropriations-4Yr'!AD4+'Local Appropriations-4Yr'!AD4+'Fed Contracts Grnts-4Yr'!AD4+'Other Contract Grnts-4Yr'!AD4+'Investment Income-4Yr'!AD4+'All Other E&amp;G-4Yr'!AD4</f>
        <v>190280613.91500002</v>
      </c>
      <c r="AE4" s="60">
        <f>+'Tuition-4Yr'!AE4+'State Appropriations-4Yr'!AE4+'Local Appropriations-4Yr'!AE4+'Fed Contracts Grnts-4Yr'!AE4+'Other Contract Grnts-4Yr'!AE4+'Investment Income-4Yr'!AE4+'All Other E&amp;G-4Yr'!AE4</f>
        <v>198123156.64699998</v>
      </c>
      <c r="AF4" s="60">
        <f>+'Tuition-4Yr'!AF4+'State Appropriations-4Yr'!AF4+'Local Appropriations-4Yr'!AF4+'Fed Contracts Grnts-4Yr'!AF4+'Other Contract Grnts-4Yr'!AF4+'Investment Income-4Yr'!AF4+'All Other E&amp;G-4Yr'!AF4</f>
        <v>196789007.39000002</v>
      </c>
      <c r="AG4" s="60">
        <f>+'Tuition-4Yr'!AG4+'State Appropriations-4Yr'!AG4+'Local Appropriations-4Yr'!AG4+'Fed Contracts Grnts-4Yr'!AG4+'Other Contract Grnts-4Yr'!AG4+'Investment Income-4Yr'!AG4+'All Other E&amp;G-4Yr'!AG4</f>
        <v>207048822.30000001</v>
      </c>
      <c r="AH4" s="60">
        <f>+'Tuition-4Yr'!AH4+'State Appropriations-4Yr'!AH4+'Local Appropriations-4Yr'!AH4+'Fed Contracts Grnts-4Yr'!AH4+'Other Contract Grnts-4Yr'!AH4+'Investment Income-4Yr'!AH4+'All Other E&amp;G-4Yr'!AH4</f>
        <v>219388288.947</v>
      </c>
      <c r="AI4" s="60">
        <f>+'Tuition-4Yr'!AI4+'State Appropriations-4Yr'!AI4+'Local Appropriations-4Yr'!AI4+'Fed Contracts Grnts-4Yr'!AI4+'Other Contract Grnts-4Yr'!AI4+'Investment Income-4Yr'!AI4+'All Other E&amp;G-4Yr'!AI4</f>
        <v>234085208.87900001</v>
      </c>
      <c r="AJ4" s="60">
        <f>+'Tuition-4Yr'!AJ4+'State Appropriations-4Yr'!AJ4+'Local Appropriations-4Yr'!AJ4+'Fed Contracts Grnts-4Yr'!AJ4+'Other Contract Grnts-4Yr'!AJ4+'Investment Income-4Yr'!AJ4+'All Other E&amp;G-4Yr'!AJ4</f>
        <v>0</v>
      </c>
      <c r="AK4" s="60">
        <f>+'Tuition-4Yr'!AK4+'State Appropriations-4Yr'!AK4+'Local Appropriations-4Yr'!AK4+'Fed Contracts Grnts-4Yr'!AK4+'Other Contract Grnts-4Yr'!AK4+'Investment Income-4Yr'!AK4+'All Other E&amp;G-4Yr'!AK4</f>
        <v>265149636.50599995</v>
      </c>
    </row>
    <row r="5" spans="1:37" ht="12.75" customHeight="1">
      <c r="A5" s="1" t="s">
        <v>20</v>
      </c>
      <c r="B5" s="58">
        <f>+'Tuition-4Yr'!B5+'State Appropriations-4Yr'!B5+'Local Appropriations-4Yr'!B5+'Fed Contracts Grnts-4Yr'!B5+'Other Contract Grnts-4Yr'!B5+'Investment Income-4Yr'!B5+'All Other E&amp;G-4Yr'!B5</f>
        <v>3290568</v>
      </c>
      <c r="C5" s="58">
        <f>+'Tuition-4Yr'!C5+'State Appropriations-4Yr'!C5+'Local Appropriations-4Yr'!C5+'Fed Contracts Grnts-4Yr'!C5+'Other Contract Grnts-4Yr'!C5+'Investment Income-4Yr'!C5+'All Other E&amp;G-4Yr'!C5</f>
        <v>3687757</v>
      </c>
      <c r="D5" s="58">
        <f>+'Tuition-4Yr'!D5+'State Appropriations-4Yr'!D5+'Local Appropriations-4Yr'!D5+'Fed Contracts Grnts-4Yr'!D5+'Other Contract Grnts-4Yr'!D5+'Investment Income-4Yr'!D5+'All Other E&amp;G-4Yr'!D5</f>
        <v>4292063</v>
      </c>
      <c r="E5" s="58">
        <f>+'Tuition-4Yr'!E5+'State Appropriations-4Yr'!E5+'Local Appropriations-4Yr'!E5+'Fed Contracts Grnts-4Yr'!E5+'Other Contract Grnts-4Yr'!E5+'Investment Income-4Yr'!E5+'All Other E&amp;G-4Yr'!E5</f>
        <v>0</v>
      </c>
      <c r="F5" s="58">
        <f>+'Tuition-4Yr'!F5+'State Appropriations-4Yr'!F5+'Local Appropriations-4Yr'!F5+'Fed Contracts Grnts-4Yr'!F5+'Other Contract Grnts-4Yr'!F5+'Investment Income-4Yr'!F5+'All Other E&amp;G-4Yr'!F5</f>
        <v>0</v>
      </c>
      <c r="G5" s="58">
        <f>+'Tuition-4Yr'!G5+'State Appropriations-4Yr'!G5+'Local Appropriations-4Yr'!G5+'Fed Contracts Grnts-4Yr'!G5+'Other Contract Grnts-4Yr'!G5+'Investment Income-4Yr'!G5+'All Other E&amp;G-4Yr'!G5</f>
        <v>0</v>
      </c>
      <c r="H5" s="58">
        <f>+'Tuition-4Yr'!H5+'State Appropriations-4Yr'!H5+'Local Appropriations-4Yr'!H5+'Fed Contracts Grnts-4Yr'!H5+'Other Contract Grnts-4Yr'!H5+'Investment Income-4Yr'!H5+'All Other E&amp;G-4Yr'!H5</f>
        <v>0</v>
      </c>
      <c r="I5" s="58">
        <f>+'Tuition-4Yr'!I5+'State Appropriations-4Yr'!I5+'Local Appropriations-4Yr'!I5+'Fed Contracts Grnts-4Yr'!I5+'Other Contract Grnts-4Yr'!I5+'Investment Income-4Yr'!I5+'All Other E&amp;G-4Yr'!I5</f>
        <v>6711637.1349999998</v>
      </c>
      <c r="J5" s="58">
        <f>+'Tuition-4Yr'!J5+'State Appropriations-4Yr'!J5+'Local Appropriations-4Yr'!J5+'Fed Contracts Grnts-4Yr'!J5+'Other Contract Grnts-4Yr'!J5+'Investment Income-4Yr'!J5+'All Other E&amp;G-4Yr'!J5</f>
        <v>21460234.850000001</v>
      </c>
      <c r="K5" s="58">
        <f>+'Tuition-4Yr'!K5+'State Appropriations-4Yr'!K5+'Local Appropriations-4Yr'!K5+'Fed Contracts Grnts-4Yr'!K5+'Other Contract Grnts-4Yr'!K5+'Investment Income-4Yr'!K5+'All Other E&amp;G-4Yr'!K5</f>
        <v>4557524.8639999991</v>
      </c>
      <c r="L5" s="58">
        <f>+'Tuition-4Yr'!L5+'State Appropriations-4Yr'!L5+'Local Appropriations-4Yr'!L5+'Fed Contracts Grnts-4Yr'!L5+'Other Contract Grnts-4Yr'!L5+'Investment Income-4Yr'!L5+'All Other E&amp;G-4Yr'!L5</f>
        <v>4809146.3910000008</v>
      </c>
      <c r="M5" s="58">
        <f>+'Tuition-4Yr'!M5+'State Appropriations-4Yr'!M5+'Local Appropriations-4Yr'!M5+'Fed Contracts Grnts-4Yr'!M5+'Other Contract Grnts-4Yr'!M5+'Investment Income-4Yr'!M5+'All Other E&amp;G-4Yr'!M5</f>
        <v>25820167.825000003</v>
      </c>
      <c r="N5" s="58">
        <f>+'Tuition-4Yr'!N5+'State Appropriations-4Yr'!N5+'Local Appropriations-4Yr'!N5+'Fed Contracts Grnts-4Yr'!N5+'Other Contract Grnts-4Yr'!N5+'Investment Income-4Yr'!N5+'All Other E&amp;G-4Yr'!N5</f>
        <v>9814790.7653000001</v>
      </c>
      <c r="O5" s="58">
        <f>+'Tuition-4Yr'!O5+'State Appropriations-4Yr'!O5+'Local Appropriations-4Yr'!O5+'Fed Contracts Grnts-4Yr'!O5+'Other Contract Grnts-4Yr'!O5+'Investment Income-4Yr'!O5+'All Other E&amp;G-4Yr'!O5</f>
        <v>29436641.079719998</v>
      </c>
      <c r="P5" s="58">
        <f>+'Tuition-4Yr'!P5+'State Appropriations-4Yr'!P5+'Local Appropriations-4Yr'!P5+'Fed Contracts Grnts-4Yr'!P5+'Other Contract Grnts-4Yr'!P5+'Investment Income-4Yr'!P5+'All Other E&amp;G-4Yr'!P5</f>
        <v>0</v>
      </c>
      <c r="Q5" s="58">
        <f>+'Tuition-4Yr'!Q5+'State Appropriations-4Yr'!Q5+'Local Appropriations-4Yr'!Q5+'Fed Contracts Grnts-4Yr'!Q5+'Other Contract Grnts-4Yr'!Q5+'Investment Income-4Yr'!Q5+'All Other E&amp;G-4Yr'!Q5</f>
        <v>0</v>
      </c>
      <c r="R5" s="58">
        <f>+'Tuition-4Yr'!R5+'State Appropriations-4Yr'!R5+'Local Appropriations-4Yr'!R5+'Fed Contracts Grnts-4Yr'!R5+'Other Contract Grnts-4Yr'!R5+'Investment Income-4Yr'!R5+'All Other E&amp;G-4Yr'!R5</f>
        <v>35871104.201999992</v>
      </c>
      <c r="S5" s="58">
        <f>+'Tuition-4Yr'!S5+'State Appropriations-4Yr'!S5+'Local Appropriations-4Yr'!S5+'Fed Contracts Grnts-4Yr'!S5+'Other Contract Grnts-4Yr'!S5+'Investment Income-4Yr'!S5+'All Other E&amp;G-4Yr'!S5</f>
        <v>38660823.399999999</v>
      </c>
      <c r="T5" s="58">
        <f>+'Tuition-4Yr'!T5+'State Appropriations-4Yr'!T5+'Local Appropriations-4Yr'!T5+'Fed Contracts Grnts-4Yr'!T5+'Other Contract Grnts-4Yr'!T5+'Investment Income-4Yr'!T5+'All Other E&amp;G-4Yr'!T5</f>
        <v>42549084.354999997</v>
      </c>
      <c r="U5" s="58">
        <f>+'Tuition-4Yr'!U5+'State Appropriations-4Yr'!U5+'Local Appropriations-4Yr'!U5+'Fed Contracts Grnts-4Yr'!U5+'Other Contract Grnts-4Yr'!U5+'Investment Income-4Yr'!U5+'All Other E&amp;G-4Yr'!U5</f>
        <v>44602086.175000004</v>
      </c>
      <c r="V5" s="58">
        <f>+'Tuition-4Yr'!V5+'State Appropriations-4Yr'!V5+'Local Appropriations-4Yr'!V5+'Fed Contracts Grnts-4Yr'!V5+'Other Contract Grnts-4Yr'!V5+'Investment Income-4Yr'!V5+'All Other E&amp;G-4Yr'!V5</f>
        <v>46982833.590999998</v>
      </c>
      <c r="W5" s="58">
        <f>+'Tuition-4Yr'!W5+'State Appropriations-4Yr'!W5+'Local Appropriations-4Yr'!W5+'Fed Contracts Grnts-4Yr'!W5+'Other Contract Grnts-4Yr'!W5+'Investment Income-4Yr'!W5+'All Other E&amp;G-4Yr'!W5</f>
        <v>53529049.072999999</v>
      </c>
      <c r="X5" s="58">
        <f>+'Tuition-4Yr'!X5+'State Appropriations-4Yr'!X5+'Local Appropriations-4Yr'!X5+'Fed Contracts Grnts-4Yr'!X5+'Other Contract Grnts-4Yr'!X5+'Investment Income-4Yr'!X5+'All Other E&amp;G-4Yr'!X5</f>
        <v>52821745.122999996</v>
      </c>
      <c r="Y5" s="58">
        <f>+'Tuition-4Yr'!Y5+'State Appropriations-4Yr'!Y5+'Local Appropriations-4Yr'!Y5+'Fed Contracts Grnts-4Yr'!Y5+'Other Contract Grnts-4Yr'!Y5+'Investment Income-4Yr'!Y5+'All Other E&amp;G-4Yr'!Y5</f>
        <v>58436087.300999999</v>
      </c>
      <c r="Z5" s="58">
        <f>+'Tuition-4Yr'!Z5+'State Appropriations-4Yr'!Z5+'Local Appropriations-4Yr'!Z5+'Fed Contracts Grnts-4Yr'!Z5+'Other Contract Grnts-4Yr'!Z5+'Investment Income-4Yr'!Z5+'All Other E&amp;G-4Yr'!Z5</f>
        <v>59215181.116999991</v>
      </c>
      <c r="AA5" s="58">
        <f>+'Tuition-4Yr'!AA5+'State Appropriations-4Yr'!AA5+'Local Appropriations-4Yr'!AA5+'Fed Contracts Grnts-4Yr'!AA5+'Other Contract Grnts-4Yr'!AA5+'Investment Income-4Yr'!AA5+'All Other E&amp;G-4Yr'!AA5</f>
        <v>52737149.608000003</v>
      </c>
      <c r="AB5" s="58">
        <f>+'Tuition-4Yr'!AB5+'State Appropriations-4Yr'!AB5+'Local Appropriations-4Yr'!AB5+'Fed Contracts Grnts-4Yr'!AB5+'Other Contract Grnts-4Yr'!AB5+'Investment Income-4Yr'!AB5+'All Other E&amp;G-4Yr'!AB5</f>
        <v>70424389.827000007</v>
      </c>
      <c r="AC5" s="58">
        <f>+'Tuition-4Yr'!AC5+'State Appropriations-4Yr'!AC5+'Local Appropriations-4Yr'!AC5+'Fed Contracts Grnts-4Yr'!AC5+'Other Contract Grnts-4Yr'!AC5+'Investment Income-4Yr'!AC5+'All Other E&amp;G-4Yr'!AC5</f>
        <v>74839050</v>
      </c>
      <c r="AD5" s="58">
        <f>+'Tuition-4Yr'!AD5+'State Appropriations-4Yr'!AD5+'Local Appropriations-4Yr'!AD5+'Fed Contracts Grnts-4Yr'!AD5+'Other Contract Grnts-4Yr'!AD5+'Investment Income-4Yr'!AD5+'All Other E&amp;G-4Yr'!AD5</f>
        <v>72649371.400000006</v>
      </c>
      <c r="AE5" s="58">
        <f>+'Tuition-4Yr'!AE5+'State Appropriations-4Yr'!AE5+'Local Appropriations-4Yr'!AE5+'Fed Contracts Grnts-4Yr'!AE5+'Other Contract Grnts-4Yr'!AE5+'Investment Income-4Yr'!AE5+'All Other E&amp;G-4Yr'!AE5</f>
        <v>70822207.221000001</v>
      </c>
      <c r="AF5" s="58">
        <f>+'Tuition-4Yr'!AF5+'State Appropriations-4Yr'!AF5+'Local Appropriations-4Yr'!AF5+'Fed Contracts Grnts-4Yr'!AF5+'Other Contract Grnts-4Yr'!AF5+'Investment Income-4Yr'!AF5+'All Other E&amp;G-4Yr'!AF5</f>
        <v>73120829.450000003</v>
      </c>
      <c r="AG5" s="58">
        <f>+'Tuition-4Yr'!AG5+'State Appropriations-4Yr'!AG5+'Local Appropriations-4Yr'!AG5+'Fed Contracts Grnts-4Yr'!AG5+'Other Contract Grnts-4Yr'!AG5+'Investment Income-4Yr'!AG5+'All Other E&amp;G-4Yr'!AG5</f>
        <v>76230825.023999989</v>
      </c>
      <c r="AH5" s="58">
        <f>+'Tuition-4Yr'!AH5+'State Appropriations-4Yr'!AH5+'Local Appropriations-4Yr'!AH5+'Fed Contracts Grnts-4Yr'!AH5+'Other Contract Grnts-4Yr'!AH5+'Investment Income-4Yr'!AH5+'All Other E&amp;G-4Yr'!AH5</f>
        <v>84460606.266000003</v>
      </c>
      <c r="AI5" s="58">
        <f>+'Tuition-4Yr'!AI5+'State Appropriations-4Yr'!AI5+'Local Appropriations-4Yr'!AI5+'Fed Contracts Grnts-4Yr'!AI5+'Other Contract Grnts-4Yr'!AI5+'Investment Income-4Yr'!AI5+'All Other E&amp;G-4Yr'!AI5</f>
        <v>90248048.768000022</v>
      </c>
      <c r="AJ5" s="58">
        <f>+'Tuition-4Yr'!AJ5+'State Appropriations-4Yr'!AJ5+'Local Appropriations-4Yr'!AJ5+'Fed Contracts Grnts-4Yr'!AJ5+'Other Contract Grnts-4Yr'!AJ5+'Investment Income-4Yr'!AJ5+'All Other E&amp;G-4Yr'!AJ5</f>
        <v>0</v>
      </c>
      <c r="AK5" s="58">
        <f>+'Tuition-4Yr'!AK5+'State Appropriations-4Yr'!AK5+'Local Appropriations-4Yr'!AK5+'Fed Contracts Grnts-4Yr'!AK5+'Other Contract Grnts-4Yr'!AK5+'Investment Income-4Yr'!AK5+'All Other E&amp;G-4Yr'!AK5</f>
        <v>103402352.086</v>
      </c>
    </row>
    <row r="6" spans="1:37" ht="12.75" customHeight="1">
      <c r="A6" s="6" t="s">
        <v>94</v>
      </c>
      <c r="B6" s="58">
        <f>+'Tuition-4Yr'!B6+'State Appropriations-4Yr'!B6+'Local Appropriations-4Yr'!B6+'Fed Contracts Grnts-4Yr'!B6+'Other Contract Grnts-4Yr'!B6+'Investment Income-4Yr'!B6+'All Other E&amp;G-4Yr'!B6</f>
        <v>0</v>
      </c>
      <c r="C6" s="58">
        <f>+'Tuition-4Yr'!C6+'State Appropriations-4Yr'!C6+'Local Appropriations-4Yr'!C6+'Fed Contracts Grnts-4Yr'!C6+'Other Contract Grnts-4Yr'!C6+'Investment Income-4Yr'!C6+'All Other E&amp;G-4Yr'!C6</f>
        <v>0</v>
      </c>
      <c r="D6" s="58">
        <f>+'Tuition-4Yr'!D6+'State Appropriations-4Yr'!D6+'Local Appropriations-4Yr'!D6+'Fed Contracts Grnts-4Yr'!D6+'Other Contract Grnts-4Yr'!D6+'Investment Income-4Yr'!D6+'All Other E&amp;G-4Yr'!D6</f>
        <v>0</v>
      </c>
      <c r="E6" s="58">
        <f>+'Tuition-4Yr'!E6+'State Appropriations-4Yr'!E6+'Local Appropriations-4Yr'!E6+'Fed Contracts Grnts-4Yr'!E6+'Other Contract Grnts-4Yr'!E6+'Investment Income-4Yr'!E6+'All Other E&amp;G-4Yr'!E6</f>
        <v>0</v>
      </c>
      <c r="F6" s="58">
        <f>+'Tuition-4Yr'!F6+'State Appropriations-4Yr'!F6+'Local Appropriations-4Yr'!F6+'Fed Contracts Grnts-4Yr'!F6+'Other Contract Grnts-4Yr'!F6+'Investment Income-4Yr'!F6+'All Other E&amp;G-4Yr'!F6</f>
        <v>0</v>
      </c>
      <c r="G6" s="58">
        <f>+'Tuition-4Yr'!G6+'State Appropriations-4Yr'!G6+'Local Appropriations-4Yr'!G6+'Fed Contracts Grnts-4Yr'!G6+'Other Contract Grnts-4Yr'!G6+'Investment Income-4Yr'!G6+'All Other E&amp;G-4Yr'!G6</f>
        <v>0</v>
      </c>
      <c r="H6" s="58">
        <f>+'Tuition-4Yr'!H6+'State Appropriations-4Yr'!H6+'Local Appropriations-4Yr'!H6+'Fed Contracts Grnts-4Yr'!H6+'Other Contract Grnts-4Yr'!H6+'Investment Income-4Yr'!H6+'All Other E&amp;G-4Yr'!H6</f>
        <v>0</v>
      </c>
      <c r="I6" s="58">
        <f>+'Tuition-4Yr'!I6+'State Appropriations-4Yr'!I6+'Local Appropriations-4Yr'!I6+'Fed Contracts Grnts-4Yr'!I6+'Other Contract Grnts-4Yr'!I6+'Investment Income-4Yr'!I6+'All Other E&amp;G-4Yr'!I6</f>
        <v>0</v>
      </c>
      <c r="J6" s="58">
        <f>+'Tuition-4Yr'!J6+'State Appropriations-4Yr'!J6+'Local Appropriations-4Yr'!J6+'Fed Contracts Grnts-4Yr'!J6+'Other Contract Grnts-4Yr'!J6+'Investment Income-4Yr'!J6+'All Other E&amp;G-4Yr'!J6</f>
        <v>0</v>
      </c>
      <c r="K6" s="58">
        <f>+'Tuition-4Yr'!K6+'State Appropriations-4Yr'!K6+'Local Appropriations-4Yr'!K6+'Fed Contracts Grnts-4Yr'!K6+'Other Contract Grnts-4Yr'!K6+'Investment Income-4Yr'!K6+'All Other E&amp;G-4Yr'!K6</f>
        <v>0</v>
      </c>
      <c r="L6" s="58">
        <f>+'Tuition-4Yr'!L6+'State Appropriations-4Yr'!L6+'Local Appropriations-4Yr'!L6+'Fed Contracts Grnts-4Yr'!L6+'Other Contract Grnts-4Yr'!L6+'Investment Income-4Yr'!L6+'All Other E&amp;G-4Yr'!L6</f>
        <v>0</v>
      </c>
      <c r="M6" s="58">
        <f>+'Tuition-4Yr'!M6+'State Appropriations-4Yr'!M6+'Local Appropriations-4Yr'!M6+'Fed Contracts Grnts-4Yr'!M6+'Other Contract Grnts-4Yr'!M6+'Investment Income-4Yr'!M6+'All Other E&amp;G-4Yr'!M6</f>
        <v>0</v>
      </c>
      <c r="N6" s="58">
        <f>+'Tuition-4Yr'!N6+'State Appropriations-4Yr'!N6+'Local Appropriations-4Yr'!N6+'Fed Contracts Grnts-4Yr'!N6+'Other Contract Grnts-4Yr'!N6+'Investment Income-4Yr'!N6+'All Other E&amp;G-4Yr'!N6</f>
        <v>0</v>
      </c>
      <c r="O6" s="58">
        <f>+'Tuition-4Yr'!O6+'State Appropriations-4Yr'!O6+'Local Appropriations-4Yr'!O6+'Fed Contracts Grnts-4Yr'!O6+'Other Contract Grnts-4Yr'!O6+'Investment Income-4Yr'!O6+'All Other E&amp;G-4Yr'!O6</f>
        <v>0</v>
      </c>
      <c r="P6" s="58">
        <f>+'Tuition-4Yr'!P6+'State Appropriations-4Yr'!P6+'Local Appropriations-4Yr'!P6+'Fed Contracts Grnts-4Yr'!P6+'Other Contract Grnts-4Yr'!P6+'Investment Income-4Yr'!P6+'All Other E&amp;G-4Yr'!P6</f>
        <v>0</v>
      </c>
      <c r="Q6" s="58">
        <f>+'Tuition-4Yr'!Q6+'State Appropriations-4Yr'!Q6+'Local Appropriations-4Yr'!Q6+'Fed Contracts Grnts-4Yr'!Q6+'Other Contract Grnts-4Yr'!Q6+'Investment Income-4Yr'!Q6+'All Other E&amp;G-4Yr'!Q6</f>
        <v>0</v>
      </c>
      <c r="R6" s="58">
        <f>+'Tuition-4Yr'!R6+'State Appropriations-4Yr'!R6+'Local Appropriations-4Yr'!R6+'Fed Contracts Grnts-4Yr'!R6+'Other Contract Grnts-4Yr'!R6+'Investment Income-4Yr'!R6+'All Other E&amp;G-4Yr'!R6</f>
        <v>0</v>
      </c>
      <c r="S6" s="58">
        <f>+'Tuition-4Yr'!S6+'State Appropriations-4Yr'!S6+'Local Appropriations-4Yr'!S6+'Fed Contracts Grnts-4Yr'!S6+'Other Contract Grnts-4Yr'!S6+'Investment Income-4Yr'!S6+'All Other E&amp;G-4Yr'!S6</f>
        <v>0</v>
      </c>
      <c r="T6" s="58">
        <f>+'Tuition-4Yr'!T6+'State Appropriations-4Yr'!T6+'Local Appropriations-4Yr'!T6+'Fed Contracts Grnts-4Yr'!T6+'Other Contract Grnts-4Yr'!T6+'Investment Income-4Yr'!T6+'All Other E&amp;G-4Yr'!T6</f>
        <v>0</v>
      </c>
      <c r="U6" s="58">
        <f>+'Tuition-4Yr'!U6+'State Appropriations-4Yr'!U6+'Local Appropriations-4Yr'!U6+'Fed Contracts Grnts-4Yr'!U6+'Other Contract Grnts-4Yr'!U6+'Investment Income-4Yr'!U6+'All Other E&amp;G-4Yr'!U6</f>
        <v>0</v>
      </c>
      <c r="V6" s="58">
        <f>+'Tuition-4Yr'!V6+'State Appropriations-4Yr'!V6+'Local Appropriations-4Yr'!V6+'Fed Contracts Grnts-4Yr'!V6+'Other Contract Grnts-4Yr'!V6+'Investment Income-4Yr'!V6+'All Other E&amp;G-4Yr'!V6</f>
        <v>0</v>
      </c>
      <c r="W6" s="58">
        <f>+'Tuition-4Yr'!W6+'State Appropriations-4Yr'!W6+'Local Appropriations-4Yr'!W6+'Fed Contracts Grnts-4Yr'!W6+'Other Contract Grnts-4Yr'!W6+'Investment Income-4Yr'!W6+'All Other E&amp;G-4Yr'!W6</f>
        <v>0</v>
      </c>
      <c r="X6" s="58">
        <f>+'Tuition-4Yr'!X6+'State Appropriations-4Yr'!X6+'Local Appropriations-4Yr'!X6+'Fed Contracts Grnts-4Yr'!X6+'Other Contract Grnts-4Yr'!X6+'Investment Income-4Yr'!X6+'All Other E&amp;G-4Yr'!X6</f>
        <v>0</v>
      </c>
      <c r="Y6" s="58">
        <f>+'Tuition-4Yr'!Y6+'State Appropriations-4Yr'!Y6+'Local Appropriations-4Yr'!Y6+'Fed Contracts Grnts-4Yr'!Y6+'Other Contract Grnts-4Yr'!Y6+'Investment Income-4Yr'!Y6+'All Other E&amp;G-4Yr'!Y6</f>
        <v>0</v>
      </c>
      <c r="Z6" s="58">
        <f>+'Tuition-4Yr'!Z6+'State Appropriations-4Yr'!Z6+'Local Appropriations-4Yr'!Z6+'Fed Contracts Grnts-4Yr'!Z6+'Other Contract Grnts-4Yr'!Z6+'Investment Income-4Yr'!Z6+'All Other E&amp;G-4Yr'!Z6</f>
        <v>0</v>
      </c>
      <c r="AA6" s="58">
        <f>+'Tuition-4Yr'!AA6+'State Appropriations-4Yr'!AA6+'Local Appropriations-4Yr'!AA6+'Fed Contracts Grnts-4Yr'!AA6+'Other Contract Grnts-4Yr'!AA6+'Investment Income-4Yr'!AA6+'All Other E&amp;G-4Yr'!AA6</f>
        <v>0</v>
      </c>
      <c r="AB6" s="58">
        <f>+'Tuition-4Yr'!AB6+'State Appropriations-4Yr'!AB6+'Local Appropriations-4Yr'!AB6+'Fed Contracts Grnts-4Yr'!AB6+'Other Contract Grnts-4Yr'!AB6+'Investment Income-4Yr'!AB6+'All Other E&amp;G-4Yr'!AB6</f>
        <v>0</v>
      </c>
      <c r="AC6" s="58">
        <f>+'Tuition-4Yr'!AC6+'State Appropriations-4Yr'!AC6+'Local Appropriations-4Yr'!AC6+'Fed Contracts Grnts-4Yr'!AC6+'Other Contract Grnts-4Yr'!AC6+'Investment Income-4Yr'!AC6+'All Other E&amp;G-4Yr'!AC6</f>
        <v>0</v>
      </c>
      <c r="AD6" s="58">
        <f>+'Tuition-4Yr'!AD6+'State Appropriations-4Yr'!AD6+'Local Appropriations-4Yr'!AD6+'Fed Contracts Grnts-4Yr'!AD6+'Other Contract Grnts-4Yr'!AD6+'Investment Income-4Yr'!AD6+'All Other E&amp;G-4Yr'!AD6</f>
        <v>0</v>
      </c>
      <c r="AE6" s="58">
        <f>+'Tuition-4Yr'!AE6+'State Appropriations-4Yr'!AE6+'Local Appropriations-4Yr'!AE6+'Fed Contracts Grnts-4Yr'!AE6+'Other Contract Grnts-4Yr'!AE6+'Investment Income-4Yr'!AE6+'All Other E&amp;G-4Yr'!AE6</f>
        <v>0</v>
      </c>
      <c r="AF6" s="58">
        <f>+'Tuition-4Yr'!AF6+'State Appropriations-4Yr'!AF6+'Local Appropriations-4Yr'!AF6+'Fed Contracts Grnts-4Yr'!AF6+'Other Contract Grnts-4Yr'!AF6+'Investment Income-4Yr'!AF6+'All Other E&amp;G-4Yr'!AF6</f>
        <v>0</v>
      </c>
      <c r="AG6" s="58">
        <f>+'Tuition-4Yr'!AG6+'State Appropriations-4Yr'!AG6+'Local Appropriations-4Yr'!AG6+'Fed Contracts Grnts-4Yr'!AG6+'Other Contract Grnts-4Yr'!AG6+'Investment Income-4Yr'!AG6+'All Other E&amp;G-4Yr'!AG6</f>
        <v>0</v>
      </c>
      <c r="AH6" s="58">
        <f>+'Tuition-4Yr'!AH6+'State Appropriations-4Yr'!AH6+'Local Appropriations-4Yr'!AH6+'Fed Contracts Grnts-4Yr'!AH6+'Other Contract Grnts-4Yr'!AH6+'Investment Income-4Yr'!AH6+'All Other E&amp;G-4Yr'!AH6</f>
        <v>0</v>
      </c>
      <c r="AI6" s="58">
        <f>+'Tuition-4Yr'!AI6+'State Appropriations-4Yr'!AI6+'Local Appropriations-4Yr'!AI6+'Fed Contracts Grnts-4Yr'!AI6+'Other Contract Grnts-4Yr'!AI6+'Investment Income-4Yr'!AI6+'All Other E&amp;G-4Yr'!AI6</f>
        <v>0</v>
      </c>
      <c r="AJ6" s="58">
        <f>+'Tuition-4Yr'!AJ6+'State Appropriations-4Yr'!AJ6+'Local Appropriations-4Yr'!AJ6+'Fed Contracts Grnts-4Yr'!AJ6+'Other Contract Grnts-4Yr'!AJ6+'Investment Income-4Yr'!AJ6+'All Other E&amp;G-4Yr'!AJ6</f>
        <v>0</v>
      </c>
      <c r="AK6" s="58">
        <f>+'Tuition-4Yr'!AK6+'State Appropriations-4Yr'!AK6+'Local Appropriations-4Yr'!AK6+'Fed Contracts Grnts-4Yr'!AK6+'Other Contract Grnts-4Yr'!AK6+'Investment Income-4Yr'!AK6+'All Other E&amp;G-4Yr'!AK6</f>
        <v>0</v>
      </c>
    </row>
    <row r="7" spans="1:37" ht="12.75" customHeight="1">
      <c r="A7" s="1" t="s">
        <v>21</v>
      </c>
      <c r="B7" s="58">
        <f>+'Tuition-4Yr'!B7+'State Appropriations-4Yr'!B7+'Local Appropriations-4Yr'!B7+'Fed Contracts Grnts-4Yr'!B7+'Other Contract Grnts-4Yr'!B7+'Investment Income-4Yr'!B7+'All Other E&amp;G-4Yr'!B7</f>
        <v>700371</v>
      </c>
      <c r="C7" s="58">
        <f>+'Tuition-4Yr'!C7+'State Appropriations-4Yr'!C7+'Local Appropriations-4Yr'!C7+'Fed Contracts Grnts-4Yr'!C7+'Other Contract Grnts-4Yr'!C7+'Investment Income-4Yr'!C7+'All Other E&amp;G-4Yr'!C7</f>
        <v>815130</v>
      </c>
      <c r="D7" s="58">
        <f>+'Tuition-4Yr'!D7+'State Appropriations-4Yr'!D7+'Local Appropriations-4Yr'!D7+'Fed Contracts Grnts-4Yr'!D7+'Other Contract Grnts-4Yr'!D7+'Investment Income-4Yr'!D7+'All Other E&amp;G-4Yr'!D7</f>
        <v>911502</v>
      </c>
      <c r="E7" s="58">
        <f>+'Tuition-4Yr'!E7+'State Appropriations-4Yr'!E7+'Local Appropriations-4Yr'!E7+'Fed Contracts Grnts-4Yr'!E7+'Other Contract Grnts-4Yr'!E7+'Investment Income-4Yr'!E7+'All Other E&amp;G-4Yr'!E7</f>
        <v>0</v>
      </c>
      <c r="F7" s="58">
        <f>+'Tuition-4Yr'!F7+'State Appropriations-4Yr'!F7+'Local Appropriations-4Yr'!F7+'Fed Contracts Grnts-4Yr'!F7+'Other Contract Grnts-4Yr'!F7+'Investment Income-4Yr'!F7+'All Other E&amp;G-4Yr'!F7</f>
        <v>0</v>
      </c>
      <c r="G7" s="58">
        <f>+'Tuition-4Yr'!G7+'State Appropriations-4Yr'!G7+'Local Appropriations-4Yr'!G7+'Fed Contracts Grnts-4Yr'!G7+'Other Contract Grnts-4Yr'!G7+'Investment Income-4Yr'!G7+'All Other E&amp;G-4Yr'!G7</f>
        <v>0</v>
      </c>
      <c r="H7" s="58">
        <f>+'Tuition-4Yr'!H7+'State Appropriations-4Yr'!H7+'Local Appropriations-4Yr'!H7+'Fed Contracts Grnts-4Yr'!H7+'Other Contract Grnts-4Yr'!H7+'Investment Income-4Yr'!H7+'All Other E&amp;G-4Yr'!H7</f>
        <v>0</v>
      </c>
      <c r="I7" s="58">
        <f>+'Tuition-4Yr'!I7+'State Appropriations-4Yr'!I7+'Local Appropriations-4Yr'!I7+'Fed Contracts Grnts-4Yr'!I7+'Other Contract Grnts-4Yr'!I7+'Investment Income-4Yr'!I7+'All Other E&amp;G-4Yr'!I7</f>
        <v>1233908.983</v>
      </c>
      <c r="J7" s="58">
        <f>+'Tuition-4Yr'!J7+'State Appropriations-4Yr'!J7+'Local Appropriations-4Yr'!J7+'Fed Contracts Grnts-4Yr'!J7+'Other Contract Grnts-4Yr'!J7+'Investment Income-4Yr'!J7+'All Other E&amp;G-4Yr'!J7</f>
        <v>1305737.6250000002</v>
      </c>
      <c r="K7" s="58">
        <f>+'Tuition-4Yr'!K7+'State Appropriations-4Yr'!K7+'Local Appropriations-4Yr'!K7+'Fed Contracts Grnts-4Yr'!K7+'Other Contract Grnts-4Yr'!K7+'Investment Income-4Yr'!K7+'All Other E&amp;G-4Yr'!K7</f>
        <v>1400990.7149999999</v>
      </c>
      <c r="L7" s="58">
        <f>+'Tuition-4Yr'!L7+'State Appropriations-4Yr'!L7+'Local Appropriations-4Yr'!L7+'Fed Contracts Grnts-4Yr'!L7+'Other Contract Grnts-4Yr'!L7+'Investment Income-4Yr'!L7+'All Other E&amp;G-4Yr'!L7</f>
        <v>1489664.2989999999</v>
      </c>
      <c r="M7" s="58">
        <f>+'Tuition-4Yr'!M7+'State Appropriations-4Yr'!M7+'Local Appropriations-4Yr'!M7+'Fed Contracts Grnts-4Yr'!M7+'Other Contract Grnts-4Yr'!M7+'Investment Income-4Yr'!M7+'All Other E&amp;G-4Yr'!M7</f>
        <v>1641111.0869999996</v>
      </c>
      <c r="N7" s="58">
        <f>+'Tuition-4Yr'!N7+'State Appropriations-4Yr'!N7+'Local Appropriations-4Yr'!N7+'Fed Contracts Grnts-4Yr'!N7+'Other Contract Grnts-4Yr'!N7+'Investment Income-4Yr'!N7+'All Other E&amp;G-4Yr'!N7</f>
        <v>1653405.9480000003</v>
      </c>
      <c r="O7" s="58">
        <f>+'Tuition-4Yr'!O7+'State Appropriations-4Yr'!O7+'Local Appropriations-4Yr'!O7+'Fed Contracts Grnts-4Yr'!O7+'Other Contract Grnts-4Yr'!O7+'Investment Income-4Yr'!O7+'All Other E&amp;G-4Yr'!O7</f>
        <v>1715377.0560000003</v>
      </c>
      <c r="P7" s="58">
        <f>+'Tuition-4Yr'!P7+'State Appropriations-4Yr'!P7+'Local Appropriations-4Yr'!P7+'Fed Contracts Grnts-4Yr'!P7+'Other Contract Grnts-4Yr'!P7+'Investment Income-4Yr'!P7+'All Other E&amp;G-4Yr'!P7</f>
        <v>0</v>
      </c>
      <c r="Q7" s="58">
        <f>+'Tuition-4Yr'!Q7+'State Appropriations-4Yr'!Q7+'Local Appropriations-4Yr'!Q7+'Fed Contracts Grnts-4Yr'!Q7+'Other Contract Grnts-4Yr'!Q7+'Investment Income-4Yr'!Q7+'All Other E&amp;G-4Yr'!Q7</f>
        <v>0</v>
      </c>
      <c r="R7" s="58">
        <f>+'Tuition-4Yr'!R7+'State Appropriations-4Yr'!R7+'Local Appropriations-4Yr'!R7+'Fed Contracts Grnts-4Yr'!R7+'Other Contract Grnts-4Yr'!R7+'Investment Income-4Yr'!R7+'All Other E&amp;G-4Yr'!R7</f>
        <v>2058540.821</v>
      </c>
      <c r="S7" s="58">
        <f>+'Tuition-4Yr'!S7+'State Appropriations-4Yr'!S7+'Local Appropriations-4Yr'!S7+'Fed Contracts Grnts-4Yr'!S7+'Other Contract Grnts-4Yr'!S7+'Investment Income-4Yr'!S7+'All Other E&amp;G-4Yr'!S7</f>
        <v>2200682.4099999997</v>
      </c>
      <c r="T7" s="58">
        <f>+'Tuition-4Yr'!T7+'State Appropriations-4Yr'!T7+'Local Appropriations-4Yr'!T7+'Fed Contracts Grnts-4Yr'!T7+'Other Contract Grnts-4Yr'!T7+'Investment Income-4Yr'!T7+'All Other E&amp;G-4Yr'!T7</f>
        <v>2565571.9670000002</v>
      </c>
      <c r="U7" s="58">
        <f>+'Tuition-4Yr'!U7+'State Appropriations-4Yr'!U7+'Local Appropriations-4Yr'!U7+'Fed Contracts Grnts-4Yr'!U7+'Other Contract Grnts-4Yr'!U7+'Investment Income-4Yr'!U7+'All Other E&amp;G-4Yr'!U7</f>
        <v>2605339.9130000002</v>
      </c>
      <c r="V7" s="58">
        <f>+'Tuition-4Yr'!V7+'State Appropriations-4Yr'!V7+'Local Appropriations-4Yr'!V7+'Fed Contracts Grnts-4Yr'!V7+'Other Contract Grnts-4Yr'!V7+'Investment Income-4Yr'!V7+'All Other E&amp;G-4Yr'!V7</f>
        <v>2760943.6140000001</v>
      </c>
      <c r="W7" s="58">
        <f>+'Tuition-4Yr'!W7+'State Appropriations-4Yr'!W7+'Local Appropriations-4Yr'!W7+'Fed Contracts Grnts-4Yr'!W7+'Other Contract Grnts-4Yr'!W7+'Investment Income-4Yr'!W7+'All Other E&amp;G-4Yr'!W7</f>
        <v>3032455.8390000006</v>
      </c>
      <c r="X7" s="58">
        <f>+'Tuition-4Yr'!X7+'State Appropriations-4Yr'!X7+'Local Appropriations-4Yr'!X7+'Fed Contracts Grnts-4Yr'!X7+'Other Contract Grnts-4Yr'!X7+'Investment Income-4Yr'!X7+'All Other E&amp;G-4Yr'!X7</f>
        <v>3186752.094</v>
      </c>
      <c r="Y7" s="58">
        <f>+'Tuition-4Yr'!Y7+'State Appropriations-4Yr'!Y7+'Local Appropriations-4Yr'!Y7+'Fed Contracts Grnts-4Yr'!Y7+'Other Contract Grnts-4Yr'!Y7+'Investment Income-4Yr'!Y7+'All Other E&amp;G-4Yr'!Y7</f>
        <v>3685508.15</v>
      </c>
      <c r="Z7" s="58">
        <f>+'Tuition-4Yr'!Z7+'State Appropriations-4Yr'!Z7+'Local Appropriations-4Yr'!Z7+'Fed Contracts Grnts-4Yr'!Z7+'Other Contract Grnts-4Yr'!Z7+'Investment Income-4Yr'!Z7+'All Other E&amp;G-4Yr'!Z7</f>
        <v>3760897.1140000005</v>
      </c>
      <c r="AA7" s="58">
        <f>+'Tuition-4Yr'!AA7+'State Appropriations-4Yr'!AA7+'Local Appropriations-4Yr'!AA7+'Fed Contracts Grnts-4Yr'!AA7+'Other Contract Grnts-4Yr'!AA7+'Investment Income-4Yr'!AA7+'All Other E&amp;G-4Yr'!AA7</f>
        <v>4028390.4899999998</v>
      </c>
      <c r="AB7" s="58">
        <f>+'Tuition-4Yr'!AB7+'State Appropriations-4Yr'!AB7+'Local Appropriations-4Yr'!AB7+'Fed Contracts Grnts-4Yr'!AB7+'Other Contract Grnts-4Yr'!AB7+'Investment Income-4Yr'!AB7+'All Other E&amp;G-4Yr'!AB7</f>
        <v>4616219.8379999995</v>
      </c>
      <c r="AC7" s="58">
        <f>+'Tuition-4Yr'!AC7+'State Appropriations-4Yr'!AC7+'Local Appropriations-4Yr'!AC7+'Fed Contracts Grnts-4Yr'!AC7+'Other Contract Grnts-4Yr'!AC7+'Investment Income-4Yr'!AC7+'All Other E&amp;G-4Yr'!AC7</f>
        <v>4269101</v>
      </c>
      <c r="AD7" s="58">
        <f>+'Tuition-4Yr'!AD7+'State Appropriations-4Yr'!AD7+'Local Appropriations-4Yr'!AD7+'Fed Contracts Grnts-4Yr'!AD7+'Other Contract Grnts-4Yr'!AD7+'Investment Income-4Yr'!AD7+'All Other E&amp;G-4Yr'!AD7</f>
        <v>4491924.642</v>
      </c>
      <c r="AE7" s="58">
        <f>+'Tuition-4Yr'!AE7+'State Appropriations-4Yr'!AE7+'Local Appropriations-4Yr'!AE7+'Fed Contracts Grnts-4Yr'!AE7+'Other Contract Grnts-4Yr'!AE7+'Investment Income-4Yr'!AE7+'All Other E&amp;G-4Yr'!AE7</f>
        <v>4492673.0829999996</v>
      </c>
      <c r="AF7" s="58">
        <f>+'Tuition-4Yr'!AF7+'State Appropriations-4Yr'!AF7+'Local Appropriations-4Yr'!AF7+'Fed Contracts Grnts-4Yr'!AF7+'Other Contract Grnts-4Yr'!AF7+'Investment Income-4Yr'!AF7+'All Other E&amp;G-4Yr'!AF7</f>
        <v>4530347.7050000001</v>
      </c>
      <c r="AG7" s="58">
        <f>+'Tuition-4Yr'!AG7+'State Appropriations-4Yr'!AG7+'Local Appropriations-4Yr'!AG7+'Fed Contracts Grnts-4Yr'!AG7+'Other Contract Grnts-4Yr'!AG7+'Investment Income-4Yr'!AG7+'All Other E&amp;G-4Yr'!AG7</f>
        <v>4612311.4929999998</v>
      </c>
      <c r="AH7" s="58">
        <f>+'Tuition-4Yr'!AH7+'State Appropriations-4Yr'!AH7+'Local Appropriations-4Yr'!AH7+'Fed Contracts Grnts-4Yr'!AH7+'Other Contract Grnts-4Yr'!AH7+'Investment Income-4Yr'!AH7+'All Other E&amp;G-4Yr'!AH7</f>
        <v>5049151.5410000002</v>
      </c>
      <c r="AI7" s="58">
        <f>+'Tuition-4Yr'!AI7+'State Appropriations-4Yr'!AI7+'Local Appropriations-4Yr'!AI7+'Fed Contracts Grnts-4Yr'!AI7+'Other Contract Grnts-4Yr'!AI7+'Investment Income-4Yr'!AI7+'All Other E&amp;G-4Yr'!AI7</f>
        <v>5434198.7480000006</v>
      </c>
      <c r="AJ7" s="58">
        <f>+'Tuition-4Yr'!AJ7+'State Appropriations-4Yr'!AJ7+'Local Appropriations-4Yr'!AJ7+'Fed Contracts Grnts-4Yr'!AJ7+'Other Contract Grnts-4Yr'!AJ7+'Investment Income-4Yr'!AJ7+'All Other E&amp;G-4Yr'!AJ7</f>
        <v>0</v>
      </c>
      <c r="AK7" s="58">
        <f>+'Tuition-4Yr'!AK7+'State Appropriations-4Yr'!AK7+'Local Appropriations-4Yr'!AK7+'Fed Contracts Grnts-4Yr'!AK7+'Other Contract Grnts-4Yr'!AK7+'Investment Income-4Yr'!AK7+'All Other E&amp;G-4Yr'!AK7</f>
        <v>5920327.3939999994</v>
      </c>
    </row>
    <row r="8" spans="1:37" ht="12.75" customHeight="1">
      <c r="A8" s="1" t="s">
        <v>22</v>
      </c>
      <c r="B8" s="58">
        <f>+'Tuition-4Yr'!B8+'State Appropriations-4Yr'!B8+'Local Appropriations-4Yr'!B8+'Fed Contracts Grnts-4Yr'!B8+'Other Contract Grnts-4Yr'!B8+'Investment Income-4Yr'!B8+'All Other E&amp;G-4Yr'!B8</f>
        <v>331911</v>
      </c>
      <c r="C8" s="58">
        <f>+'Tuition-4Yr'!C8+'State Appropriations-4Yr'!C8+'Local Appropriations-4Yr'!C8+'Fed Contracts Grnts-4Yr'!C8+'Other Contract Grnts-4Yr'!C8+'Investment Income-4Yr'!C8+'All Other E&amp;G-4Yr'!C8</f>
        <v>385672</v>
      </c>
      <c r="D8" s="58">
        <f>+'Tuition-4Yr'!D8+'State Appropriations-4Yr'!D8+'Local Appropriations-4Yr'!D8+'Fed Contracts Grnts-4Yr'!D8+'Other Contract Grnts-4Yr'!D8+'Investment Income-4Yr'!D8+'All Other E&amp;G-4Yr'!D8</f>
        <v>409535</v>
      </c>
      <c r="E8" s="58">
        <f>+'Tuition-4Yr'!E8+'State Appropriations-4Yr'!E8+'Local Appropriations-4Yr'!E8+'Fed Contracts Grnts-4Yr'!E8+'Other Contract Grnts-4Yr'!E8+'Investment Income-4Yr'!E8+'All Other E&amp;G-4Yr'!E8</f>
        <v>0</v>
      </c>
      <c r="F8" s="58">
        <f>+'Tuition-4Yr'!F8+'State Appropriations-4Yr'!F8+'Local Appropriations-4Yr'!F8+'Fed Contracts Grnts-4Yr'!F8+'Other Contract Grnts-4Yr'!F8+'Investment Income-4Yr'!F8+'All Other E&amp;G-4Yr'!F8</f>
        <v>0</v>
      </c>
      <c r="G8" s="58">
        <f>+'Tuition-4Yr'!G8+'State Appropriations-4Yr'!G8+'Local Appropriations-4Yr'!G8+'Fed Contracts Grnts-4Yr'!G8+'Other Contract Grnts-4Yr'!G8+'Investment Income-4Yr'!G8+'All Other E&amp;G-4Yr'!G8</f>
        <v>0</v>
      </c>
      <c r="H8" s="58">
        <f>+'Tuition-4Yr'!H8+'State Appropriations-4Yr'!H8+'Local Appropriations-4Yr'!H8+'Fed Contracts Grnts-4Yr'!H8+'Other Contract Grnts-4Yr'!H8+'Investment Income-4Yr'!H8+'All Other E&amp;G-4Yr'!H8</f>
        <v>0</v>
      </c>
      <c r="I8" s="58">
        <f>+'Tuition-4Yr'!I8+'State Appropriations-4Yr'!I8+'Local Appropriations-4Yr'!I8+'Fed Contracts Grnts-4Yr'!I8+'Other Contract Grnts-4Yr'!I8+'Investment Income-4Yr'!I8+'All Other E&amp;G-4Yr'!I8</f>
        <v>624123.38899999997</v>
      </c>
      <c r="J8" s="58">
        <f>+'Tuition-4Yr'!J8+'State Appropriations-4Yr'!J8+'Local Appropriations-4Yr'!J8+'Fed Contracts Grnts-4Yr'!J8+'Other Contract Grnts-4Yr'!J8+'Investment Income-4Yr'!J8+'All Other E&amp;G-4Yr'!J8</f>
        <v>595947.07399999991</v>
      </c>
      <c r="K8" s="58">
        <f>+'Tuition-4Yr'!K8+'State Appropriations-4Yr'!K8+'Local Appropriations-4Yr'!K8+'Fed Contracts Grnts-4Yr'!K8+'Other Contract Grnts-4Yr'!K8+'Investment Income-4Yr'!K8+'All Other E&amp;G-4Yr'!K8</f>
        <v>658638.80900000001</v>
      </c>
      <c r="L8" s="58">
        <f>+'Tuition-4Yr'!L8+'State Appropriations-4Yr'!L8+'Local Appropriations-4Yr'!L8+'Fed Contracts Grnts-4Yr'!L8+'Other Contract Grnts-4Yr'!L8+'Investment Income-4Yr'!L8+'All Other E&amp;G-4Yr'!L8</f>
        <v>672059.79499999993</v>
      </c>
      <c r="M8" s="58">
        <f>+'Tuition-4Yr'!M8+'State Appropriations-4Yr'!M8+'Local Appropriations-4Yr'!M8+'Fed Contracts Grnts-4Yr'!M8+'Other Contract Grnts-4Yr'!M8+'Investment Income-4Yr'!M8+'All Other E&amp;G-4Yr'!M8</f>
        <v>693945.85700000008</v>
      </c>
      <c r="N8" s="58">
        <f>+'Tuition-4Yr'!N8+'State Appropriations-4Yr'!N8+'Local Appropriations-4Yr'!N8+'Fed Contracts Grnts-4Yr'!N8+'Other Contract Grnts-4Yr'!N8+'Investment Income-4Yr'!N8+'All Other E&amp;G-4Yr'!N8</f>
        <v>748961.78099999996</v>
      </c>
      <c r="O8" s="58">
        <f>+'Tuition-4Yr'!O8+'State Appropriations-4Yr'!O8+'Local Appropriations-4Yr'!O8+'Fed Contracts Grnts-4Yr'!O8+'Other Contract Grnts-4Yr'!O8+'Investment Income-4Yr'!O8+'All Other E&amp;G-4Yr'!O8</f>
        <v>792059.30999999994</v>
      </c>
      <c r="P8" s="58">
        <f>+'Tuition-4Yr'!P8+'State Appropriations-4Yr'!P8+'Local Appropriations-4Yr'!P8+'Fed Contracts Grnts-4Yr'!P8+'Other Contract Grnts-4Yr'!P8+'Investment Income-4Yr'!P8+'All Other E&amp;G-4Yr'!P8</f>
        <v>0</v>
      </c>
      <c r="Q8" s="58">
        <f>+'Tuition-4Yr'!Q8+'State Appropriations-4Yr'!Q8+'Local Appropriations-4Yr'!Q8+'Fed Contracts Grnts-4Yr'!Q8+'Other Contract Grnts-4Yr'!Q8+'Investment Income-4Yr'!Q8+'All Other E&amp;G-4Yr'!Q8</f>
        <v>0</v>
      </c>
      <c r="R8" s="58">
        <f>+'Tuition-4Yr'!R8+'State Appropriations-4Yr'!R8+'Local Appropriations-4Yr'!R8+'Fed Contracts Grnts-4Yr'!R8+'Other Contract Grnts-4Yr'!R8+'Investment Income-4Yr'!R8+'All Other E&amp;G-4Yr'!R8</f>
        <v>991724.26100000006</v>
      </c>
      <c r="S8" s="58">
        <f>+'Tuition-4Yr'!S8+'State Appropriations-4Yr'!S8+'Local Appropriations-4Yr'!S8+'Fed Contracts Grnts-4Yr'!S8+'Other Contract Grnts-4Yr'!S8+'Investment Income-4Yr'!S8+'All Other E&amp;G-4Yr'!S8</f>
        <v>1053778.4649999999</v>
      </c>
      <c r="T8" s="58">
        <f>+'Tuition-4Yr'!T8+'State Appropriations-4Yr'!T8+'Local Appropriations-4Yr'!T8+'Fed Contracts Grnts-4Yr'!T8+'Other Contract Grnts-4Yr'!T8+'Investment Income-4Yr'!T8+'All Other E&amp;G-4Yr'!T8</f>
        <v>1161852.8419999999</v>
      </c>
      <c r="U8" s="58">
        <f>+'Tuition-4Yr'!U8+'State Appropriations-4Yr'!U8+'Local Appropriations-4Yr'!U8+'Fed Contracts Grnts-4Yr'!U8+'Other Contract Grnts-4Yr'!U8+'Investment Income-4Yr'!U8+'All Other E&amp;G-4Yr'!U8</f>
        <v>1483517.301</v>
      </c>
      <c r="V8" s="58">
        <f>+'Tuition-4Yr'!V8+'State Appropriations-4Yr'!V8+'Local Appropriations-4Yr'!V8+'Fed Contracts Grnts-4Yr'!V8+'Other Contract Grnts-4Yr'!V8+'Investment Income-4Yr'!V8+'All Other E&amp;G-4Yr'!V8</f>
        <v>1180478.0750000002</v>
      </c>
      <c r="W8" s="58">
        <f>+'Tuition-4Yr'!W8+'State Appropriations-4Yr'!W8+'Local Appropriations-4Yr'!W8+'Fed Contracts Grnts-4Yr'!W8+'Other Contract Grnts-4Yr'!W8+'Investment Income-4Yr'!W8+'All Other E&amp;G-4Yr'!W8</f>
        <v>1367283.2109999999</v>
      </c>
      <c r="X8" s="58">
        <f>+'Tuition-4Yr'!X8+'State Appropriations-4Yr'!X8+'Local Appropriations-4Yr'!X8+'Fed Contracts Grnts-4Yr'!X8+'Other Contract Grnts-4Yr'!X8+'Investment Income-4Yr'!X8+'All Other E&amp;G-4Yr'!X8</f>
        <v>1364404.2310000001</v>
      </c>
      <c r="Y8" s="58">
        <f>+'Tuition-4Yr'!Y8+'State Appropriations-4Yr'!Y8+'Local Appropriations-4Yr'!Y8+'Fed Contracts Grnts-4Yr'!Y8+'Other Contract Grnts-4Yr'!Y8+'Investment Income-4Yr'!Y8+'All Other E&amp;G-4Yr'!Y8</f>
        <v>1376783.1160000002</v>
      </c>
      <c r="Z8" s="58">
        <f>+'Tuition-4Yr'!Z8+'State Appropriations-4Yr'!Z8+'Local Appropriations-4Yr'!Z8+'Fed Contracts Grnts-4Yr'!Z8+'Other Contract Grnts-4Yr'!Z8+'Investment Income-4Yr'!Z8+'All Other E&amp;G-4Yr'!Z8</f>
        <v>1459504.4350000001</v>
      </c>
      <c r="AA8" s="58">
        <f>+'Tuition-4Yr'!AA8+'State Appropriations-4Yr'!AA8+'Local Appropriations-4Yr'!AA8+'Fed Contracts Grnts-4Yr'!AA8+'Other Contract Grnts-4Yr'!AA8+'Investment Income-4Yr'!AA8+'All Other E&amp;G-4Yr'!AA8</f>
        <v>1413667.2319999998</v>
      </c>
      <c r="AB8" s="58">
        <f>+'Tuition-4Yr'!AB8+'State Appropriations-4Yr'!AB8+'Local Appropriations-4Yr'!AB8+'Fed Contracts Grnts-4Yr'!AB8+'Other Contract Grnts-4Yr'!AB8+'Investment Income-4Yr'!AB8+'All Other E&amp;G-4Yr'!AB8</f>
        <v>1875085.399</v>
      </c>
      <c r="AC8" s="58">
        <f>+'Tuition-4Yr'!AC8+'State Appropriations-4Yr'!AC8+'Local Appropriations-4Yr'!AC8+'Fed Contracts Grnts-4Yr'!AC8+'Other Contract Grnts-4Yr'!AC8+'Investment Income-4Yr'!AC8+'All Other E&amp;G-4Yr'!AC8</f>
        <v>2021982</v>
      </c>
      <c r="AD8" s="58">
        <f>+'Tuition-4Yr'!AD8+'State Appropriations-4Yr'!AD8+'Local Appropriations-4Yr'!AD8+'Fed Contracts Grnts-4Yr'!AD8+'Other Contract Grnts-4Yr'!AD8+'Investment Income-4Yr'!AD8+'All Other E&amp;G-4Yr'!AD8</f>
        <v>2101592.5150000001</v>
      </c>
      <c r="AE8" s="58">
        <f>+'Tuition-4Yr'!AE8+'State Appropriations-4Yr'!AE8+'Local Appropriations-4Yr'!AE8+'Fed Contracts Grnts-4Yr'!AE8+'Other Contract Grnts-4Yr'!AE8+'Investment Income-4Yr'!AE8+'All Other E&amp;G-4Yr'!AE8</f>
        <v>2133920.0290000001</v>
      </c>
      <c r="AF8" s="58">
        <f>+'Tuition-4Yr'!AF8+'State Appropriations-4Yr'!AF8+'Local Appropriations-4Yr'!AF8+'Fed Contracts Grnts-4Yr'!AF8+'Other Contract Grnts-4Yr'!AF8+'Investment Income-4Yr'!AF8+'All Other E&amp;G-4Yr'!AF8</f>
        <v>2085947.6249999998</v>
      </c>
      <c r="AG8" s="58">
        <f>+'Tuition-4Yr'!AG8+'State Appropriations-4Yr'!AG8+'Local Appropriations-4Yr'!AG8+'Fed Contracts Grnts-4Yr'!AG8+'Other Contract Grnts-4Yr'!AG8+'Investment Income-4Yr'!AG8+'All Other E&amp;G-4Yr'!AG8</f>
        <v>2116600.7070000004</v>
      </c>
      <c r="AH8" s="58">
        <f>+'Tuition-4Yr'!AH8+'State Appropriations-4Yr'!AH8+'Local Appropriations-4Yr'!AH8+'Fed Contracts Grnts-4Yr'!AH8+'Other Contract Grnts-4Yr'!AH8+'Investment Income-4Yr'!AH8+'All Other E&amp;G-4Yr'!AH8</f>
        <v>2145397.1259999997</v>
      </c>
      <c r="AI8" s="58">
        <f>+'Tuition-4Yr'!AI8+'State Appropriations-4Yr'!AI8+'Local Appropriations-4Yr'!AI8+'Fed Contracts Grnts-4Yr'!AI8+'Other Contract Grnts-4Yr'!AI8+'Investment Income-4Yr'!AI8+'All Other E&amp;G-4Yr'!AI8</f>
        <v>2279800.7050000001</v>
      </c>
      <c r="AJ8" s="58">
        <f>+'Tuition-4Yr'!AJ8+'State Appropriations-4Yr'!AJ8+'Local Appropriations-4Yr'!AJ8+'Fed Contracts Grnts-4Yr'!AJ8+'Other Contract Grnts-4Yr'!AJ8+'Investment Income-4Yr'!AJ8+'All Other E&amp;G-4Yr'!AJ8</f>
        <v>0</v>
      </c>
      <c r="AK8" s="58">
        <f>+'Tuition-4Yr'!AK8+'State Appropriations-4Yr'!AK8+'Local Appropriations-4Yr'!AK8+'Fed Contracts Grnts-4Yr'!AK8+'Other Contract Grnts-4Yr'!AK8+'Investment Income-4Yr'!AK8+'All Other E&amp;G-4Yr'!AK8</f>
        <v>2555554.7080000006</v>
      </c>
    </row>
    <row r="9" spans="1:37" ht="12.75" customHeight="1">
      <c r="A9" s="1" t="s">
        <v>23</v>
      </c>
      <c r="B9" s="58">
        <f>+'Tuition-4Yr'!B9+'State Appropriations-4Yr'!B9+'Local Appropriations-4Yr'!B9+'Fed Contracts Grnts-4Yr'!B9+'Other Contract Grnts-4Yr'!B9+'Investment Income-4Yr'!B9+'All Other E&amp;G-4Yr'!B9</f>
        <v>0</v>
      </c>
      <c r="C9" s="58">
        <f>+'Tuition-4Yr'!C9+'State Appropriations-4Yr'!C9+'Local Appropriations-4Yr'!C9+'Fed Contracts Grnts-4Yr'!C9+'Other Contract Grnts-4Yr'!C9+'Investment Income-4Yr'!C9+'All Other E&amp;G-4Yr'!C9</f>
        <v>0</v>
      </c>
      <c r="D9" s="58">
        <f>+'Tuition-4Yr'!D9+'State Appropriations-4Yr'!D9+'Local Appropriations-4Yr'!D9+'Fed Contracts Grnts-4Yr'!D9+'Other Contract Grnts-4Yr'!D9+'Investment Income-4Yr'!D9+'All Other E&amp;G-4Yr'!D9</f>
        <v>200335</v>
      </c>
      <c r="E9" s="58">
        <f>+'Tuition-4Yr'!E9+'State Appropriations-4Yr'!E9+'Local Appropriations-4Yr'!E9+'Fed Contracts Grnts-4Yr'!E9+'Other Contract Grnts-4Yr'!E9+'Investment Income-4Yr'!E9+'All Other E&amp;G-4Yr'!E9</f>
        <v>0</v>
      </c>
      <c r="F9" s="58">
        <f>+'Tuition-4Yr'!F9+'State Appropriations-4Yr'!F9+'Local Appropriations-4Yr'!F9+'Fed Contracts Grnts-4Yr'!F9+'Other Contract Grnts-4Yr'!F9+'Investment Income-4Yr'!F9+'All Other E&amp;G-4Yr'!F9</f>
        <v>0</v>
      </c>
      <c r="G9" s="58">
        <f>+'Tuition-4Yr'!G9+'State Appropriations-4Yr'!G9+'Local Appropriations-4Yr'!G9+'Fed Contracts Grnts-4Yr'!G9+'Other Contract Grnts-4Yr'!G9+'Investment Income-4Yr'!G9+'All Other E&amp;G-4Yr'!G9</f>
        <v>0</v>
      </c>
      <c r="H9" s="58">
        <f>+'Tuition-4Yr'!H9+'State Appropriations-4Yr'!H9+'Local Appropriations-4Yr'!H9+'Fed Contracts Grnts-4Yr'!H9+'Other Contract Grnts-4Yr'!H9+'Investment Income-4Yr'!H9+'All Other E&amp;G-4Yr'!H9</f>
        <v>0</v>
      </c>
      <c r="I9" s="58">
        <f>+'Tuition-4Yr'!I9+'State Appropriations-4Yr'!I9+'Local Appropriations-4Yr'!I9+'Fed Contracts Grnts-4Yr'!I9+'Other Contract Grnts-4Yr'!I9+'Investment Income-4Yr'!I9+'All Other E&amp;G-4Yr'!I9</f>
        <v>299692.141</v>
      </c>
      <c r="J9" s="58">
        <f>+'Tuition-4Yr'!J9+'State Appropriations-4Yr'!J9+'Local Appropriations-4Yr'!J9+'Fed Contracts Grnts-4Yr'!J9+'Other Contract Grnts-4Yr'!J9+'Investment Income-4Yr'!J9+'All Other E&amp;G-4Yr'!J9</f>
        <v>318832.13199999998</v>
      </c>
      <c r="K9" s="58">
        <f>+'Tuition-4Yr'!K9+'State Appropriations-4Yr'!K9+'Local Appropriations-4Yr'!K9+'Fed Contracts Grnts-4Yr'!K9+'Other Contract Grnts-4Yr'!K9+'Investment Income-4Yr'!K9+'All Other E&amp;G-4Yr'!K9</f>
        <v>0</v>
      </c>
      <c r="L9" s="58">
        <f>+'Tuition-4Yr'!L9+'State Appropriations-4Yr'!L9+'Local Appropriations-4Yr'!L9+'Fed Contracts Grnts-4Yr'!L9+'Other Contract Grnts-4Yr'!L9+'Investment Income-4Yr'!L9+'All Other E&amp;G-4Yr'!L9</f>
        <v>0</v>
      </c>
      <c r="M9" s="58">
        <f>+'Tuition-4Yr'!M9+'State Appropriations-4Yr'!M9+'Local Appropriations-4Yr'!M9+'Fed Contracts Grnts-4Yr'!M9+'Other Contract Grnts-4Yr'!M9+'Investment Income-4Yr'!M9+'All Other E&amp;G-4Yr'!M9</f>
        <v>370372.01500000001</v>
      </c>
      <c r="N9" s="58">
        <f>+'Tuition-4Yr'!N9+'State Appropriations-4Yr'!N9+'Local Appropriations-4Yr'!N9+'Fed Contracts Grnts-4Yr'!N9+'Other Contract Grnts-4Yr'!N9+'Investment Income-4Yr'!N9+'All Other E&amp;G-4Yr'!N9</f>
        <v>374633.47499999998</v>
      </c>
      <c r="O9" s="58">
        <f>+'Tuition-4Yr'!O9+'State Appropriations-4Yr'!O9+'Local Appropriations-4Yr'!O9+'Fed Contracts Grnts-4Yr'!O9+'Other Contract Grnts-4Yr'!O9+'Investment Income-4Yr'!O9+'All Other E&amp;G-4Yr'!O9</f>
        <v>394578.66800000001</v>
      </c>
      <c r="P9" s="58">
        <f>+'Tuition-4Yr'!P9+'State Appropriations-4Yr'!P9+'Local Appropriations-4Yr'!P9+'Fed Contracts Grnts-4Yr'!P9+'Other Contract Grnts-4Yr'!P9+'Investment Income-4Yr'!P9+'All Other E&amp;G-4Yr'!P9</f>
        <v>0</v>
      </c>
      <c r="Q9" s="58">
        <f>+'Tuition-4Yr'!Q9+'State Appropriations-4Yr'!Q9+'Local Appropriations-4Yr'!Q9+'Fed Contracts Grnts-4Yr'!Q9+'Other Contract Grnts-4Yr'!Q9+'Investment Income-4Yr'!Q9+'All Other E&amp;G-4Yr'!Q9</f>
        <v>0</v>
      </c>
      <c r="R9" s="58">
        <f>+'Tuition-4Yr'!R9+'State Appropriations-4Yr'!R9+'Local Appropriations-4Yr'!R9+'Fed Contracts Grnts-4Yr'!R9+'Other Contract Grnts-4Yr'!R9+'Investment Income-4Yr'!R9+'All Other E&amp;G-4Yr'!R9</f>
        <v>507743.64499999996</v>
      </c>
      <c r="S9" s="58">
        <f>+'Tuition-4Yr'!S9+'State Appropriations-4Yr'!S9+'Local Appropriations-4Yr'!S9+'Fed Contracts Grnts-4Yr'!S9+'Other Contract Grnts-4Yr'!S9+'Investment Income-4Yr'!S9+'All Other E&amp;G-4Yr'!S9</f>
        <v>513404.90500000003</v>
      </c>
      <c r="T9" s="58">
        <f>+'Tuition-4Yr'!T9+'State Appropriations-4Yr'!T9+'Local Appropriations-4Yr'!T9+'Fed Contracts Grnts-4Yr'!T9+'Other Contract Grnts-4Yr'!T9+'Investment Income-4Yr'!T9+'All Other E&amp;G-4Yr'!T9</f>
        <v>488363.39999999997</v>
      </c>
      <c r="U9" s="58">
        <f>+'Tuition-4Yr'!U9+'State Appropriations-4Yr'!U9+'Local Appropriations-4Yr'!U9+'Fed Contracts Grnts-4Yr'!U9+'Other Contract Grnts-4Yr'!U9+'Investment Income-4Yr'!U9+'All Other E&amp;G-4Yr'!U9</f>
        <v>527185.505</v>
      </c>
      <c r="V9" s="58">
        <f>+'Tuition-4Yr'!V9+'State Appropriations-4Yr'!V9+'Local Appropriations-4Yr'!V9+'Fed Contracts Grnts-4Yr'!V9+'Other Contract Grnts-4Yr'!V9+'Investment Income-4Yr'!V9+'All Other E&amp;G-4Yr'!V9</f>
        <v>688738.13199999998</v>
      </c>
      <c r="W9" s="58">
        <f>+'Tuition-4Yr'!W9+'State Appropriations-4Yr'!W9+'Local Appropriations-4Yr'!W9+'Fed Contracts Grnts-4Yr'!W9+'Other Contract Grnts-4Yr'!W9+'Investment Income-4Yr'!W9+'All Other E&amp;G-4Yr'!W9</f>
        <v>660417.41700000002</v>
      </c>
      <c r="X9" s="58">
        <f>+'Tuition-4Yr'!X9+'State Appropriations-4Yr'!X9+'Local Appropriations-4Yr'!X9+'Fed Contracts Grnts-4Yr'!X9+'Other Contract Grnts-4Yr'!X9+'Investment Income-4Yr'!X9+'All Other E&amp;G-4Yr'!X9</f>
        <v>766201.353</v>
      </c>
      <c r="Y9" s="58">
        <f>+'Tuition-4Yr'!Y9+'State Appropriations-4Yr'!Y9+'Local Appropriations-4Yr'!Y9+'Fed Contracts Grnts-4Yr'!Y9+'Other Contract Grnts-4Yr'!Y9+'Investment Income-4Yr'!Y9+'All Other E&amp;G-4Yr'!Y9</f>
        <v>841688.4850000001</v>
      </c>
      <c r="Z9" s="58">
        <f>+'Tuition-4Yr'!Z9+'State Appropriations-4Yr'!Z9+'Local Appropriations-4Yr'!Z9+'Fed Contracts Grnts-4Yr'!Z9+'Other Contract Grnts-4Yr'!Z9+'Investment Income-4Yr'!Z9+'All Other E&amp;G-4Yr'!Z9</f>
        <v>604120.56599999999</v>
      </c>
      <c r="AA9" s="58">
        <f>+'Tuition-4Yr'!AA9+'State Appropriations-4Yr'!AA9+'Local Appropriations-4Yr'!AA9+'Fed Contracts Grnts-4Yr'!AA9+'Other Contract Grnts-4Yr'!AA9+'Investment Income-4Yr'!AA9+'All Other E&amp;G-4Yr'!AA9</f>
        <v>460230.48800000001</v>
      </c>
      <c r="AB9" s="58">
        <f>+'Tuition-4Yr'!AB9+'State Appropriations-4Yr'!AB9+'Local Appropriations-4Yr'!AB9+'Fed Contracts Grnts-4Yr'!AB9+'Other Contract Grnts-4Yr'!AB9+'Investment Income-4Yr'!AB9+'All Other E&amp;G-4Yr'!AB9</f>
        <v>935560.04499999993</v>
      </c>
      <c r="AC9" s="58">
        <f>+'Tuition-4Yr'!AC9+'State Appropriations-4Yr'!AC9+'Local Appropriations-4Yr'!AC9+'Fed Contracts Grnts-4Yr'!AC9+'Other Contract Grnts-4Yr'!AC9+'Investment Income-4Yr'!AC9+'All Other E&amp;G-4Yr'!AC9</f>
        <v>1164408</v>
      </c>
      <c r="AD9" s="58">
        <f>+'Tuition-4Yr'!AD9+'State Appropriations-4Yr'!AD9+'Local Appropriations-4Yr'!AD9+'Fed Contracts Grnts-4Yr'!AD9+'Other Contract Grnts-4Yr'!AD9+'Investment Income-4Yr'!AD9+'All Other E&amp;G-4Yr'!AD9</f>
        <v>908969.88</v>
      </c>
      <c r="AE9" s="58">
        <f>+'Tuition-4Yr'!AE9+'State Appropriations-4Yr'!AE9+'Local Appropriations-4Yr'!AE9+'Fed Contracts Grnts-4Yr'!AE9+'Other Contract Grnts-4Yr'!AE9+'Investment Income-4Yr'!AE9+'All Other E&amp;G-4Yr'!AE9</f>
        <v>1102134.0519999999</v>
      </c>
      <c r="AF9" s="58">
        <f>+'Tuition-4Yr'!AF9+'State Appropriations-4Yr'!AF9+'Local Appropriations-4Yr'!AF9+'Fed Contracts Grnts-4Yr'!AF9+'Other Contract Grnts-4Yr'!AF9+'Investment Income-4Yr'!AF9+'All Other E&amp;G-4Yr'!AF9</f>
        <v>1207280.7749999999</v>
      </c>
      <c r="AG9" s="58">
        <f>+'Tuition-4Yr'!AG9+'State Appropriations-4Yr'!AG9+'Local Appropriations-4Yr'!AG9+'Fed Contracts Grnts-4Yr'!AG9+'Other Contract Grnts-4Yr'!AG9+'Investment Income-4Yr'!AG9+'All Other E&amp;G-4Yr'!AG9</f>
        <v>1105540.9369999999</v>
      </c>
      <c r="AH9" s="58">
        <f>+'Tuition-4Yr'!AH9+'State Appropriations-4Yr'!AH9+'Local Appropriations-4Yr'!AH9+'Fed Contracts Grnts-4Yr'!AH9+'Other Contract Grnts-4Yr'!AH9+'Investment Income-4Yr'!AH9+'All Other E&amp;G-4Yr'!AH9</f>
        <v>1010569.316</v>
      </c>
      <c r="AI9" s="58">
        <f>+'Tuition-4Yr'!AI9+'State Appropriations-4Yr'!AI9+'Local Appropriations-4Yr'!AI9+'Fed Contracts Grnts-4Yr'!AI9+'Other Contract Grnts-4Yr'!AI9+'Investment Income-4Yr'!AI9+'All Other E&amp;G-4Yr'!AI9</f>
        <v>126485.90000000001</v>
      </c>
      <c r="AJ9" s="58">
        <f>+'Tuition-4Yr'!AJ9+'State Appropriations-4Yr'!AJ9+'Local Appropriations-4Yr'!AJ9+'Fed Contracts Grnts-4Yr'!AJ9+'Other Contract Grnts-4Yr'!AJ9+'Investment Income-4Yr'!AJ9+'All Other E&amp;G-4Yr'!AJ9</f>
        <v>0</v>
      </c>
      <c r="AK9" s="58">
        <f>+'Tuition-4Yr'!AK9+'State Appropriations-4Yr'!AK9+'Local Appropriations-4Yr'!AK9+'Fed Contracts Grnts-4Yr'!AK9+'Other Contract Grnts-4Yr'!AK9+'Investment Income-4Yr'!AK9+'All Other E&amp;G-4Yr'!AK9</f>
        <v>1163737.2079999999</v>
      </c>
    </row>
    <row r="10" spans="1:37" ht="12.75" customHeight="1">
      <c r="A10" s="1" t="s">
        <v>24</v>
      </c>
      <c r="B10" s="58">
        <f>+'Tuition-4Yr'!B10+'State Appropriations-4Yr'!B10+'Local Appropriations-4Yr'!B10+'Fed Contracts Grnts-4Yr'!B10+'Other Contract Grnts-4Yr'!B10+'Investment Income-4Yr'!B10+'All Other E&amp;G-4Yr'!B10</f>
        <v>941851</v>
      </c>
      <c r="C10" s="58">
        <f>+'Tuition-4Yr'!C10+'State Appropriations-4Yr'!C10+'Local Appropriations-4Yr'!C10+'Fed Contracts Grnts-4Yr'!C10+'Other Contract Grnts-4Yr'!C10+'Investment Income-4Yr'!C10+'All Other E&amp;G-4Yr'!C10</f>
        <v>1056295</v>
      </c>
      <c r="D10" s="58">
        <f>+'Tuition-4Yr'!D10+'State Appropriations-4Yr'!D10+'Local Appropriations-4Yr'!D10+'Fed Contracts Grnts-4Yr'!D10+'Other Contract Grnts-4Yr'!D10+'Investment Income-4Yr'!D10+'All Other E&amp;G-4Yr'!D10</f>
        <v>1161978</v>
      </c>
      <c r="E10" s="58">
        <f>+'Tuition-4Yr'!E10+'State Appropriations-4Yr'!E10+'Local Appropriations-4Yr'!E10+'Fed Contracts Grnts-4Yr'!E10+'Other Contract Grnts-4Yr'!E10+'Investment Income-4Yr'!E10+'All Other E&amp;G-4Yr'!E10</f>
        <v>0</v>
      </c>
      <c r="F10" s="58">
        <f>+'Tuition-4Yr'!F10+'State Appropriations-4Yr'!F10+'Local Appropriations-4Yr'!F10+'Fed Contracts Grnts-4Yr'!F10+'Other Contract Grnts-4Yr'!F10+'Investment Income-4Yr'!F10+'All Other E&amp;G-4Yr'!F10</f>
        <v>0</v>
      </c>
      <c r="G10" s="58">
        <f>+'Tuition-4Yr'!G10+'State Appropriations-4Yr'!G10+'Local Appropriations-4Yr'!G10+'Fed Contracts Grnts-4Yr'!G10+'Other Contract Grnts-4Yr'!G10+'Investment Income-4Yr'!G10+'All Other E&amp;G-4Yr'!G10</f>
        <v>0</v>
      </c>
      <c r="H10" s="58">
        <f>+'Tuition-4Yr'!H10+'State Appropriations-4Yr'!H10+'Local Appropriations-4Yr'!H10+'Fed Contracts Grnts-4Yr'!H10+'Other Contract Grnts-4Yr'!H10+'Investment Income-4Yr'!H10+'All Other E&amp;G-4Yr'!H10</f>
        <v>0</v>
      </c>
      <c r="I10" s="58">
        <f>+'Tuition-4Yr'!I10+'State Appropriations-4Yr'!I10+'Local Appropriations-4Yr'!I10+'Fed Contracts Grnts-4Yr'!I10+'Other Contract Grnts-4Yr'!I10+'Investment Income-4Yr'!I10+'All Other E&amp;G-4Yr'!I10</f>
        <v>1858192.0690000001</v>
      </c>
      <c r="J10" s="58">
        <f>+'Tuition-4Yr'!J10+'State Appropriations-4Yr'!J10+'Local Appropriations-4Yr'!J10+'Fed Contracts Grnts-4Yr'!J10+'Other Contract Grnts-4Yr'!J10+'Investment Income-4Yr'!J10+'All Other E&amp;G-4Yr'!J10</f>
        <v>1914793.4819999998</v>
      </c>
      <c r="K10" s="58">
        <f>+'Tuition-4Yr'!K10+'State Appropriations-4Yr'!K10+'Local Appropriations-4Yr'!K10+'Fed Contracts Grnts-4Yr'!K10+'Other Contract Grnts-4Yr'!K10+'Investment Income-4Yr'!K10+'All Other E&amp;G-4Yr'!K10</f>
        <v>2017521.4640000002</v>
      </c>
      <c r="L10" s="58">
        <f>+'Tuition-4Yr'!L10+'State Appropriations-4Yr'!L10+'Local Appropriations-4Yr'!L10+'Fed Contracts Grnts-4Yr'!L10+'Other Contract Grnts-4Yr'!L10+'Investment Income-4Yr'!L10+'All Other E&amp;G-4Yr'!L10</f>
        <v>2135692.7480000001</v>
      </c>
      <c r="M10" s="58">
        <f>+'Tuition-4Yr'!M10+'State Appropriations-4Yr'!M10+'Local Appropriations-4Yr'!M10+'Fed Contracts Grnts-4Yr'!M10+'Other Contract Grnts-4Yr'!M10+'Investment Income-4Yr'!M10+'All Other E&amp;G-4Yr'!M10</f>
        <v>2254558.622</v>
      </c>
      <c r="N10" s="58">
        <f>+'Tuition-4Yr'!N10+'State Appropriations-4Yr'!N10+'Local Appropriations-4Yr'!N10+'Fed Contracts Grnts-4Yr'!N10+'Other Contract Grnts-4Yr'!N10+'Investment Income-4Yr'!N10+'All Other E&amp;G-4Yr'!N10</f>
        <v>2411836.105</v>
      </c>
      <c r="O10" s="58">
        <f>+'Tuition-4Yr'!O10+'State Appropriations-4Yr'!O10+'Local Appropriations-4Yr'!O10+'Fed Contracts Grnts-4Yr'!O10+'Other Contract Grnts-4Yr'!O10+'Investment Income-4Yr'!O10+'All Other E&amp;G-4Yr'!O10</f>
        <v>2594549.9119999995</v>
      </c>
      <c r="P10" s="58">
        <f>+'Tuition-4Yr'!P10+'State Appropriations-4Yr'!P10+'Local Appropriations-4Yr'!P10+'Fed Contracts Grnts-4Yr'!P10+'Other Contract Grnts-4Yr'!P10+'Investment Income-4Yr'!P10+'All Other E&amp;G-4Yr'!P10</f>
        <v>0</v>
      </c>
      <c r="Q10" s="58">
        <f>+'Tuition-4Yr'!Q10+'State Appropriations-4Yr'!Q10+'Local Appropriations-4Yr'!Q10+'Fed Contracts Grnts-4Yr'!Q10+'Other Contract Grnts-4Yr'!Q10+'Investment Income-4Yr'!Q10+'All Other E&amp;G-4Yr'!Q10</f>
        <v>0</v>
      </c>
      <c r="R10" s="58">
        <f>+'Tuition-4Yr'!R10+'State Appropriations-4Yr'!R10+'Local Appropriations-4Yr'!R10+'Fed Contracts Grnts-4Yr'!R10+'Other Contract Grnts-4Yr'!R10+'Investment Income-4Yr'!R10+'All Other E&amp;G-4Yr'!R10</f>
        <v>3301030.7890000003</v>
      </c>
      <c r="S10" s="58">
        <f>+'Tuition-4Yr'!S10+'State Appropriations-4Yr'!S10+'Local Appropriations-4Yr'!S10+'Fed Contracts Grnts-4Yr'!S10+'Other Contract Grnts-4Yr'!S10+'Investment Income-4Yr'!S10+'All Other E&amp;G-4Yr'!S10</f>
        <v>3621955.3710000003</v>
      </c>
      <c r="T10" s="58">
        <f>+'Tuition-4Yr'!T10+'State Appropriations-4Yr'!T10+'Local Appropriations-4Yr'!T10+'Fed Contracts Grnts-4Yr'!T10+'Other Contract Grnts-4Yr'!T10+'Investment Income-4Yr'!T10+'All Other E&amp;G-4Yr'!T10</f>
        <v>4008259.9849999994</v>
      </c>
      <c r="U10" s="58">
        <f>+'Tuition-4Yr'!U10+'State Appropriations-4Yr'!U10+'Local Appropriations-4Yr'!U10+'Fed Contracts Grnts-4Yr'!U10+'Other Contract Grnts-4Yr'!U10+'Investment Income-4Yr'!U10+'All Other E&amp;G-4Yr'!U10</f>
        <v>4603982.1340000005</v>
      </c>
      <c r="V10" s="58">
        <f>+'Tuition-4Yr'!V10+'State Appropriations-4Yr'!V10+'Local Appropriations-4Yr'!V10+'Fed Contracts Grnts-4Yr'!V10+'Other Contract Grnts-4Yr'!V10+'Investment Income-4Yr'!V10+'All Other E&amp;G-4Yr'!V10</f>
        <v>4844659.87</v>
      </c>
      <c r="W10" s="58">
        <f>+'Tuition-4Yr'!W10+'State Appropriations-4Yr'!W10+'Local Appropriations-4Yr'!W10+'Fed Contracts Grnts-4Yr'!W10+'Other Contract Grnts-4Yr'!W10+'Investment Income-4Yr'!W10+'All Other E&amp;G-4Yr'!W10</f>
        <v>5930426.0369999995</v>
      </c>
      <c r="X10" s="58">
        <f>+'Tuition-4Yr'!X10+'State Appropriations-4Yr'!X10+'Local Appropriations-4Yr'!X10+'Fed Contracts Grnts-4Yr'!X10+'Other Contract Grnts-4Yr'!X10+'Investment Income-4Yr'!X10+'All Other E&amp;G-4Yr'!X10</f>
        <v>5596639.2930000005</v>
      </c>
      <c r="Y10" s="58">
        <f>+'Tuition-4Yr'!Y10+'State Appropriations-4Yr'!Y10+'Local Appropriations-4Yr'!Y10+'Fed Contracts Grnts-4Yr'!Y10+'Other Contract Grnts-4Yr'!Y10+'Investment Income-4Yr'!Y10+'All Other E&amp;G-4Yr'!Y10</f>
        <v>5965048.3130000001</v>
      </c>
      <c r="Z10" s="58">
        <f>+'Tuition-4Yr'!Z10+'State Appropriations-4Yr'!Z10+'Local Appropriations-4Yr'!Z10+'Fed Contracts Grnts-4Yr'!Z10+'Other Contract Grnts-4Yr'!Z10+'Investment Income-4Yr'!Z10+'All Other E&amp;G-4Yr'!Z10</f>
        <v>6145616.4519999996</v>
      </c>
      <c r="AA10" s="58">
        <f>+'Tuition-4Yr'!AA10+'State Appropriations-4Yr'!AA10+'Local Appropriations-4Yr'!AA10+'Fed Contracts Grnts-4Yr'!AA10+'Other Contract Grnts-4Yr'!AA10+'Investment Income-4Yr'!AA10+'All Other E&amp;G-4Yr'!AA10</f>
        <v>6441638.3040000005</v>
      </c>
      <c r="AB10" s="58">
        <f>+'Tuition-4Yr'!AB10+'State Appropriations-4Yr'!AB10+'Local Appropriations-4Yr'!AB10+'Fed Contracts Grnts-4Yr'!AB10+'Other Contract Grnts-4Yr'!AB10+'Investment Income-4Yr'!AB10+'All Other E&amp;G-4Yr'!AB10</f>
        <v>6851718.4009999996</v>
      </c>
      <c r="AC10" s="58">
        <f>+'Tuition-4Yr'!AC10+'State Appropriations-4Yr'!AC10+'Local Appropriations-4Yr'!AC10+'Fed Contracts Grnts-4Yr'!AC10+'Other Contract Grnts-4Yr'!AC10+'Investment Income-4Yr'!AC10+'All Other E&amp;G-4Yr'!AC10</f>
        <v>7352949</v>
      </c>
      <c r="AD10" s="58">
        <f>+'Tuition-4Yr'!AD10+'State Appropriations-4Yr'!AD10+'Local Appropriations-4Yr'!AD10+'Fed Contracts Grnts-4Yr'!AD10+'Other Contract Grnts-4Yr'!AD10+'Investment Income-4Yr'!AD10+'All Other E&amp;G-4Yr'!AD10</f>
        <v>7221777.6079999991</v>
      </c>
      <c r="AE10" s="58">
        <f>+'Tuition-4Yr'!AE10+'State Appropriations-4Yr'!AE10+'Local Appropriations-4Yr'!AE10+'Fed Contracts Grnts-4Yr'!AE10+'Other Contract Grnts-4Yr'!AE10+'Investment Income-4Yr'!AE10+'All Other E&amp;G-4Yr'!AE10</f>
        <v>7201722.635999999</v>
      </c>
      <c r="AF10" s="58">
        <f>+'Tuition-4Yr'!AF10+'State Appropriations-4Yr'!AF10+'Local Appropriations-4Yr'!AF10+'Fed Contracts Grnts-4Yr'!AF10+'Other Contract Grnts-4Yr'!AF10+'Investment Income-4Yr'!AF10+'All Other E&amp;G-4Yr'!AF10</f>
        <v>7927458.4860000005</v>
      </c>
      <c r="AG10" s="58">
        <f>+'Tuition-4Yr'!AG10+'State Appropriations-4Yr'!AG10+'Local Appropriations-4Yr'!AG10+'Fed Contracts Grnts-4Yr'!AG10+'Other Contract Grnts-4Yr'!AG10+'Investment Income-4Yr'!AG10+'All Other E&amp;G-4Yr'!AG10</f>
        <v>8435102.1559999995</v>
      </c>
      <c r="AH10" s="58">
        <f>+'Tuition-4Yr'!AH10+'State Appropriations-4Yr'!AH10+'Local Appropriations-4Yr'!AH10+'Fed Contracts Grnts-4Yr'!AH10+'Other Contract Grnts-4Yr'!AH10+'Investment Income-4Yr'!AH10+'All Other E&amp;G-4Yr'!AH10</f>
        <v>8413887.9160000011</v>
      </c>
      <c r="AI10" s="58">
        <f>+'Tuition-4Yr'!AI10+'State Appropriations-4Yr'!AI10+'Local Appropriations-4Yr'!AI10+'Fed Contracts Grnts-4Yr'!AI10+'Other Contract Grnts-4Yr'!AI10+'Investment Income-4Yr'!AI10+'All Other E&amp;G-4Yr'!AI10</f>
        <v>9070065.773</v>
      </c>
      <c r="AJ10" s="58">
        <f>+'Tuition-4Yr'!AJ10+'State Appropriations-4Yr'!AJ10+'Local Appropriations-4Yr'!AJ10+'Fed Contracts Grnts-4Yr'!AJ10+'Other Contract Grnts-4Yr'!AJ10+'Investment Income-4Yr'!AJ10+'All Other E&amp;G-4Yr'!AJ10</f>
        <v>0</v>
      </c>
      <c r="AK10" s="58">
        <f>+'Tuition-4Yr'!AK10+'State Appropriations-4Yr'!AK10+'Local Appropriations-4Yr'!AK10+'Fed Contracts Grnts-4Yr'!AK10+'Other Contract Grnts-4Yr'!AK10+'Investment Income-4Yr'!AK10+'All Other E&amp;G-4Yr'!AK10</f>
        <v>11485845.915999999</v>
      </c>
    </row>
    <row r="11" spans="1:37" ht="12.75" customHeight="1">
      <c r="A11" s="1" t="s">
        <v>25</v>
      </c>
      <c r="B11" s="58">
        <f>+'Tuition-4Yr'!B11+'State Appropriations-4Yr'!B11+'Local Appropriations-4Yr'!B11+'Fed Contracts Grnts-4Yr'!B11+'Other Contract Grnts-4Yr'!B11+'Investment Income-4Yr'!B11+'All Other E&amp;G-4Yr'!B11</f>
        <v>838231</v>
      </c>
      <c r="C11" s="58">
        <f>+'Tuition-4Yr'!C11+'State Appropriations-4Yr'!C11+'Local Appropriations-4Yr'!C11+'Fed Contracts Grnts-4Yr'!C11+'Other Contract Grnts-4Yr'!C11+'Investment Income-4Yr'!C11+'All Other E&amp;G-4Yr'!C11</f>
        <v>911952</v>
      </c>
      <c r="D11" s="58">
        <f>+'Tuition-4Yr'!D11+'State Appropriations-4Yr'!D11+'Local Appropriations-4Yr'!D11+'Fed Contracts Grnts-4Yr'!D11+'Other Contract Grnts-4Yr'!D11+'Investment Income-4Yr'!D11+'All Other E&amp;G-4Yr'!D11</f>
        <v>1004924</v>
      </c>
      <c r="E11" s="58">
        <f>+'Tuition-4Yr'!E11+'State Appropriations-4Yr'!E11+'Local Appropriations-4Yr'!E11+'Fed Contracts Grnts-4Yr'!E11+'Other Contract Grnts-4Yr'!E11+'Investment Income-4Yr'!E11+'All Other E&amp;G-4Yr'!E11</f>
        <v>0</v>
      </c>
      <c r="F11" s="58">
        <f>+'Tuition-4Yr'!F11+'State Appropriations-4Yr'!F11+'Local Appropriations-4Yr'!F11+'Fed Contracts Grnts-4Yr'!F11+'Other Contract Grnts-4Yr'!F11+'Investment Income-4Yr'!F11+'All Other E&amp;G-4Yr'!F11</f>
        <v>0</v>
      </c>
      <c r="G11" s="58">
        <f>+'Tuition-4Yr'!G11+'State Appropriations-4Yr'!G11+'Local Appropriations-4Yr'!G11+'Fed Contracts Grnts-4Yr'!G11+'Other Contract Grnts-4Yr'!G11+'Investment Income-4Yr'!G11+'All Other E&amp;G-4Yr'!G11</f>
        <v>0</v>
      </c>
      <c r="H11" s="58">
        <f>+'Tuition-4Yr'!H11+'State Appropriations-4Yr'!H11+'Local Appropriations-4Yr'!H11+'Fed Contracts Grnts-4Yr'!H11+'Other Contract Grnts-4Yr'!H11+'Investment Income-4Yr'!H11+'All Other E&amp;G-4Yr'!H11</f>
        <v>0</v>
      </c>
      <c r="I11" s="58">
        <f>+'Tuition-4Yr'!I11+'State Appropriations-4Yr'!I11+'Local Appropriations-4Yr'!I11+'Fed Contracts Grnts-4Yr'!I11+'Other Contract Grnts-4Yr'!I11+'Investment Income-4Yr'!I11+'All Other E&amp;G-4Yr'!I11</f>
        <v>1391776.287</v>
      </c>
      <c r="J11" s="58">
        <f>+'Tuition-4Yr'!J11+'State Appropriations-4Yr'!J11+'Local Appropriations-4Yr'!J11+'Fed Contracts Grnts-4Yr'!J11+'Other Contract Grnts-4Yr'!J11+'Investment Income-4Yr'!J11+'All Other E&amp;G-4Yr'!J11</f>
        <v>1415815.1240000001</v>
      </c>
      <c r="K11" s="58">
        <f>+'Tuition-4Yr'!K11+'State Appropriations-4Yr'!K11+'Local Appropriations-4Yr'!K11+'Fed Contracts Grnts-4Yr'!K11+'Other Contract Grnts-4Yr'!K11+'Investment Income-4Yr'!K11+'All Other E&amp;G-4Yr'!K11</f>
        <v>1560988.9300000002</v>
      </c>
      <c r="L11" s="58">
        <f>+'Tuition-4Yr'!L11+'State Appropriations-4Yr'!L11+'Local Appropriations-4Yr'!L11+'Fed Contracts Grnts-4Yr'!L11+'Other Contract Grnts-4Yr'!L11+'Investment Income-4Yr'!L11+'All Other E&amp;G-4Yr'!L11</f>
        <v>1713464.4129999999</v>
      </c>
      <c r="M11" s="58">
        <f>+'Tuition-4Yr'!M11+'State Appropriations-4Yr'!M11+'Local Appropriations-4Yr'!M11+'Fed Contracts Grnts-4Yr'!M11+'Other Contract Grnts-4Yr'!M11+'Investment Income-4Yr'!M11+'All Other E&amp;G-4Yr'!M11</f>
        <v>1899594.2849999999</v>
      </c>
      <c r="N11" s="58">
        <f>+'Tuition-4Yr'!N11+'State Appropriations-4Yr'!N11+'Local Appropriations-4Yr'!N11+'Fed Contracts Grnts-4Yr'!N11+'Other Contract Grnts-4Yr'!N11+'Investment Income-4Yr'!N11+'All Other E&amp;G-4Yr'!N11</f>
        <v>2069886.5790000001</v>
      </c>
      <c r="O11" s="58">
        <f>+'Tuition-4Yr'!O11+'State Appropriations-4Yr'!O11+'Local Appropriations-4Yr'!O11+'Fed Contracts Grnts-4Yr'!O11+'Other Contract Grnts-4Yr'!O11+'Investment Income-4Yr'!O11+'All Other E&amp;G-4Yr'!O11</f>
        <v>2304789.0870000003</v>
      </c>
      <c r="P11" s="58">
        <f>+'Tuition-4Yr'!P11+'State Appropriations-4Yr'!P11+'Local Appropriations-4Yr'!P11+'Fed Contracts Grnts-4Yr'!P11+'Other Contract Grnts-4Yr'!P11+'Investment Income-4Yr'!P11+'All Other E&amp;G-4Yr'!P11</f>
        <v>0</v>
      </c>
      <c r="Q11" s="58">
        <f>+'Tuition-4Yr'!Q11+'State Appropriations-4Yr'!Q11+'Local Appropriations-4Yr'!Q11+'Fed Contracts Grnts-4Yr'!Q11+'Other Contract Grnts-4Yr'!Q11+'Investment Income-4Yr'!Q11+'All Other E&amp;G-4Yr'!Q11</f>
        <v>0</v>
      </c>
      <c r="R11" s="58">
        <f>+'Tuition-4Yr'!R11+'State Appropriations-4Yr'!R11+'Local Appropriations-4Yr'!R11+'Fed Contracts Grnts-4Yr'!R11+'Other Contract Grnts-4Yr'!R11+'Investment Income-4Yr'!R11+'All Other E&amp;G-4Yr'!R11</f>
        <v>2897779.7780000004</v>
      </c>
      <c r="S11" s="58">
        <f>+'Tuition-4Yr'!S11+'State Appropriations-4Yr'!S11+'Local Appropriations-4Yr'!S11+'Fed Contracts Grnts-4Yr'!S11+'Other Contract Grnts-4Yr'!S11+'Investment Income-4Yr'!S11+'All Other E&amp;G-4Yr'!S11</f>
        <v>3176932.6040000003</v>
      </c>
      <c r="T11" s="58">
        <f>+'Tuition-4Yr'!T11+'State Appropriations-4Yr'!T11+'Local Appropriations-4Yr'!T11+'Fed Contracts Grnts-4Yr'!T11+'Other Contract Grnts-4Yr'!T11+'Investment Income-4Yr'!T11+'All Other E&amp;G-4Yr'!T11</f>
        <v>3121948.7730000005</v>
      </c>
      <c r="U11" s="58">
        <f>+'Tuition-4Yr'!U11+'State Appropriations-4Yr'!U11+'Local Appropriations-4Yr'!U11+'Fed Contracts Grnts-4Yr'!U11+'Other Contract Grnts-4Yr'!U11+'Investment Income-4Yr'!U11+'All Other E&amp;G-4Yr'!U11</f>
        <v>3235461.04</v>
      </c>
      <c r="V11" s="58">
        <f>+'Tuition-4Yr'!V11+'State Appropriations-4Yr'!V11+'Local Appropriations-4Yr'!V11+'Fed Contracts Grnts-4Yr'!V11+'Other Contract Grnts-4Yr'!V11+'Investment Income-4Yr'!V11+'All Other E&amp;G-4Yr'!V11</f>
        <v>3309401.2490000003</v>
      </c>
      <c r="W11" s="58">
        <f>+'Tuition-4Yr'!W11+'State Appropriations-4Yr'!W11+'Local Appropriations-4Yr'!W11+'Fed Contracts Grnts-4Yr'!W11+'Other Contract Grnts-4Yr'!W11+'Investment Income-4Yr'!W11+'All Other E&amp;G-4Yr'!W11</f>
        <v>3347322.9069999997</v>
      </c>
      <c r="X11" s="58">
        <f>+'Tuition-4Yr'!X11+'State Appropriations-4Yr'!X11+'Local Appropriations-4Yr'!X11+'Fed Contracts Grnts-4Yr'!X11+'Other Contract Grnts-4Yr'!X11+'Investment Income-4Yr'!X11+'All Other E&amp;G-4Yr'!X11</f>
        <v>3438574.6579999998</v>
      </c>
      <c r="Y11" s="58">
        <f>+'Tuition-4Yr'!Y11+'State Appropriations-4Yr'!Y11+'Local Appropriations-4Yr'!Y11+'Fed Contracts Grnts-4Yr'!Y11+'Other Contract Grnts-4Yr'!Y11+'Investment Income-4Yr'!Y11+'All Other E&amp;G-4Yr'!Y11</f>
        <v>3728850.4910000004</v>
      </c>
      <c r="Z11" s="58">
        <f>+'Tuition-4Yr'!Z11+'State Appropriations-4Yr'!Z11+'Local Appropriations-4Yr'!Z11+'Fed Contracts Grnts-4Yr'!Z11+'Other Contract Grnts-4Yr'!Z11+'Investment Income-4Yr'!Z11+'All Other E&amp;G-4Yr'!Z11</f>
        <v>4077522.8499999996</v>
      </c>
      <c r="AA11" s="58">
        <f>+'Tuition-4Yr'!AA11+'State Appropriations-4Yr'!AA11+'Local Appropriations-4Yr'!AA11+'Fed Contracts Grnts-4Yr'!AA11+'Other Contract Grnts-4Yr'!AA11+'Investment Income-4Yr'!AA11+'All Other E&amp;G-4Yr'!AA11</f>
        <v>3900669.5669999998</v>
      </c>
      <c r="AB11" s="58">
        <f>+'Tuition-4Yr'!AB11+'State Appropriations-4Yr'!AB11+'Local Appropriations-4Yr'!AB11+'Fed Contracts Grnts-4Yr'!AB11+'Other Contract Grnts-4Yr'!AB11+'Investment Income-4Yr'!AB11+'All Other E&amp;G-4Yr'!AB11</f>
        <v>4714337.6329999994</v>
      </c>
      <c r="AC11" s="58">
        <f>+'Tuition-4Yr'!AC11+'State Appropriations-4Yr'!AC11+'Local Appropriations-4Yr'!AC11+'Fed Contracts Grnts-4Yr'!AC11+'Other Contract Grnts-4Yr'!AC11+'Investment Income-4Yr'!AC11+'All Other E&amp;G-4Yr'!AC11</f>
        <v>5025488</v>
      </c>
      <c r="AD11" s="58">
        <f>+'Tuition-4Yr'!AD11+'State Appropriations-4Yr'!AD11+'Local Appropriations-4Yr'!AD11+'Fed Contracts Grnts-4Yr'!AD11+'Other Contract Grnts-4Yr'!AD11+'Investment Income-4Yr'!AD11+'All Other E&amp;G-4Yr'!AD11</f>
        <v>5259176.2290000003</v>
      </c>
      <c r="AE11" s="58">
        <f>+'Tuition-4Yr'!AE11+'State Appropriations-4Yr'!AE11+'Local Appropriations-4Yr'!AE11+'Fed Contracts Grnts-4Yr'!AE11+'Other Contract Grnts-4Yr'!AE11+'Investment Income-4Yr'!AE11+'All Other E&amp;G-4Yr'!AE11</f>
        <v>5726556.3510000007</v>
      </c>
      <c r="AF11" s="58">
        <f>+'Tuition-4Yr'!AF11+'State Appropriations-4Yr'!AF11+'Local Appropriations-4Yr'!AF11+'Fed Contracts Grnts-4Yr'!AF11+'Other Contract Grnts-4Yr'!AF11+'Investment Income-4Yr'!AF11+'All Other E&amp;G-4Yr'!AF11</f>
        <v>5673008.0030000005</v>
      </c>
      <c r="AG11" s="58">
        <f>+'Tuition-4Yr'!AG11+'State Appropriations-4Yr'!AG11+'Local Appropriations-4Yr'!AG11+'Fed Contracts Grnts-4Yr'!AG11+'Other Contract Grnts-4Yr'!AG11+'Investment Income-4Yr'!AG11+'All Other E&amp;G-4Yr'!AG11</f>
        <v>6091713.8420000002</v>
      </c>
      <c r="AH11" s="58">
        <f>+'Tuition-4Yr'!AH11+'State Appropriations-4Yr'!AH11+'Local Appropriations-4Yr'!AH11+'Fed Contracts Grnts-4Yr'!AH11+'Other Contract Grnts-4Yr'!AH11+'Investment Income-4Yr'!AH11+'All Other E&amp;G-4Yr'!AH11</f>
        <v>6353169.2640000004</v>
      </c>
      <c r="AI11" s="58">
        <f>+'Tuition-4Yr'!AI11+'State Appropriations-4Yr'!AI11+'Local Appropriations-4Yr'!AI11+'Fed Contracts Grnts-4Yr'!AI11+'Other Contract Grnts-4Yr'!AI11+'Investment Income-4Yr'!AI11+'All Other E&amp;G-4Yr'!AI11</f>
        <v>6701142.9699999997</v>
      </c>
      <c r="AJ11" s="58">
        <f>+'Tuition-4Yr'!AJ11+'State Appropriations-4Yr'!AJ11+'Local Appropriations-4Yr'!AJ11+'Fed Contracts Grnts-4Yr'!AJ11+'Other Contract Grnts-4Yr'!AJ11+'Investment Income-4Yr'!AJ11+'All Other E&amp;G-4Yr'!AJ11</f>
        <v>0</v>
      </c>
      <c r="AK11" s="58">
        <f>+'Tuition-4Yr'!AK11+'State Appropriations-4Yr'!AK11+'Local Appropriations-4Yr'!AK11+'Fed Contracts Grnts-4Yr'!AK11+'Other Contract Grnts-4Yr'!AK11+'Investment Income-4Yr'!AK11+'All Other E&amp;G-4Yr'!AK11</f>
        <v>7911482.8109999998</v>
      </c>
    </row>
    <row r="12" spans="1:37" ht="12.75" customHeight="1">
      <c r="A12" s="1" t="s">
        <v>26</v>
      </c>
      <c r="B12" s="58">
        <f>+'Tuition-4Yr'!B12+'State Appropriations-4Yr'!B12+'Local Appropriations-4Yr'!B12+'Fed Contracts Grnts-4Yr'!B12+'Other Contract Grnts-4Yr'!B12+'Investment Income-4Yr'!B12+'All Other E&amp;G-4Yr'!B12</f>
        <v>658360</v>
      </c>
      <c r="C12" s="58">
        <f>+'Tuition-4Yr'!C12+'State Appropriations-4Yr'!C12+'Local Appropriations-4Yr'!C12+'Fed Contracts Grnts-4Yr'!C12+'Other Contract Grnts-4Yr'!C12+'Investment Income-4Yr'!C12+'All Other E&amp;G-4Yr'!C12</f>
        <v>696203</v>
      </c>
      <c r="D12" s="58">
        <f>+'Tuition-4Yr'!D12+'State Appropriations-4Yr'!D12+'Local Appropriations-4Yr'!D12+'Fed Contracts Grnts-4Yr'!D12+'Other Contract Grnts-4Yr'!D12+'Investment Income-4Yr'!D12+'All Other E&amp;G-4Yr'!D12</f>
        <v>743327</v>
      </c>
      <c r="E12" s="58">
        <f>+'Tuition-4Yr'!E12+'State Appropriations-4Yr'!E12+'Local Appropriations-4Yr'!E12+'Fed Contracts Grnts-4Yr'!E12+'Other Contract Grnts-4Yr'!E12+'Investment Income-4Yr'!E12+'All Other E&amp;G-4Yr'!E12</f>
        <v>0</v>
      </c>
      <c r="F12" s="58">
        <f>+'Tuition-4Yr'!F12+'State Appropriations-4Yr'!F12+'Local Appropriations-4Yr'!F12+'Fed Contracts Grnts-4Yr'!F12+'Other Contract Grnts-4Yr'!F12+'Investment Income-4Yr'!F12+'All Other E&amp;G-4Yr'!F12</f>
        <v>0</v>
      </c>
      <c r="G12" s="58">
        <f>+'Tuition-4Yr'!G12+'State Appropriations-4Yr'!G12+'Local Appropriations-4Yr'!G12+'Fed Contracts Grnts-4Yr'!G12+'Other Contract Grnts-4Yr'!G12+'Investment Income-4Yr'!G12+'All Other E&amp;G-4Yr'!G12</f>
        <v>0</v>
      </c>
      <c r="H12" s="58">
        <f>+'Tuition-4Yr'!H12+'State Appropriations-4Yr'!H12+'Local Appropriations-4Yr'!H12+'Fed Contracts Grnts-4Yr'!H12+'Other Contract Grnts-4Yr'!H12+'Investment Income-4Yr'!H12+'All Other E&amp;G-4Yr'!H12</f>
        <v>0</v>
      </c>
      <c r="I12" s="58">
        <f>+'Tuition-4Yr'!I12+'State Appropriations-4Yr'!I12+'Local Appropriations-4Yr'!I12+'Fed Contracts Grnts-4Yr'!I12+'Other Contract Grnts-4Yr'!I12+'Investment Income-4Yr'!I12+'All Other E&amp;G-4Yr'!I12</f>
        <v>1074630.94</v>
      </c>
      <c r="J12" s="58">
        <f>+'Tuition-4Yr'!J12+'State Appropriations-4Yr'!J12+'Local Appropriations-4Yr'!J12+'Fed Contracts Grnts-4Yr'!J12+'Other Contract Grnts-4Yr'!J12+'Investment Income-4Yr'!J12+'All Other E&amp;G-4Yr'!J12</f>
        <v>1149012.3860000002</v>
      </c>
      <c r="K12" s="58">
        <f>+'Tuition-4Yr'!K12+'State Appropriations-4Yr'!K12+'Local Appropriations-4Yr'!K12+'Fed Contracts Grnts-4Yr'!K12+'Other Contract Grnts-4Yr'!K12+'Investment Income-4Yr'!K12+'All Other E&amp;G-4Yr'!K12</f>
        <v>1160101.287</v>
      </c>
      <c r="L12" s="58">
        <f>+'Tuition-4Yr'!L12+'State Appropriations-4Yr'!L12+'Local Appropriations-4Yr'!L12+'Fed Contracts Grnts-4Yr'!L12+'Other Contract Grnts-4Yr'!L12+'Investment Income-4Yr'!L12+'All Other E&amp;G-4Yr'!L12</f>
        <v>1206443.29</v>
      </c>
      <c r="M12" s="58">
        <f>+'Tuition-4Yr'!M12+'State Appropriations-4Yr'!M12+'Local Appropriations-4Yr'!M12+'Fed Contracts Grnts-4Yr'!M12+'Other Contract Grnts-4Yr'!M12+'Investment Income-4Yr'!M12+'All Other E&amp;G-4Yr'!M12</f>
        <v>1293938.2860000003</v>
      </c>
      <c r="N12" s="58">
        <f>+'Tuition-4Yr'!N12+'State Appropriations-4Yr'!N12+'Local Appropriations-4Yr'!N12+'Fed Contracts Grnts-4Yr'!N12+'Other Contract Grnts-4Yr'!N12+'Investment Income-4Yr'!N12+'All Other E&amp;G-4Yr'!N12</f>
        <v>1388954.6359999999</v>
      </c>
      <c r="O12" s="58">
        <f>+'Tuition-4Yr'!O12+'State Appropriations-4Yr'!O12+'Local Appropriations-4Yr'!O12+'Fed Contracts Grnts-4Yr'!O12+'Other Contract Grnts-4Yr'!O12+'Investment Income-4Yr'!O12+'All Other E&amp;G-4Yr'!O12</f>
        <v>1532753.7310000001</v>
      </c>
      <c r="P12" s="58">
        <f>+'Tuition-4Yr'!P12+'State Appropriations-4Yr'!P12+'Local Appropriations-4Yr'!P12+'Fed Contracts Grnts-4Yr'!P12+'Other Contract Grnts-4Yr'!P12+'Investment Income-4Yr'!P12+'All Other E&amp;G-4Yr'!P12</f>
        <v>0</v>
      </c>
      <c r="Q12" s="58">
        <f>+'Tuition-4Yr'!Q12+'State Appropriations-4Yr'!Q12+'Local Appropriations-4Yr'!Q12+'Fed Contracts Grnts-4Yr'!Q12+'Other Contract Grnts-4Yr'!Q12+'Investment Income-4Yr'!Q12+'All Other E&amp;G-4Yr'!Q12</f>
        <v>0</v>
      </c>
      <c r="R12" s="58">
        <f>+'Tuition-4Yr'!R12+'State Appropriations-4Yr'!R12+'Local Appropriations-4Yr'!R12+'Fed Contracts Grnts-4Yr'!R12+'Other Contract Grnts-4Yr'!R12+'Investment Income-4Yr'!R12+'All Other E&amp;G-4Yr'!R12</f>
        <v>1826546.3309999998</v>
      </c>
      <c r="S12" s="58">
        <f>+'Tuition-4Yr'!S12+'State Appropriations-4Yr'!S12+'Local Appropriations-4Yr'!S12+'Fed Contracts Grnts-4Yr'!S12+'Other Contract Grnts-4Yr'!S12+'Investment Income-4Yr'!S12+'All Other E&amp;G-4Yr'!S12</f>
        <v>1966020.8630000001</v>
      </c>
      <c r="T12" s="58">
        <f>+'Tuition-4Yr'!T12+'State Appropriations-4Yr'!T12+'Local Appropriations-4Yr'!T12+'Fed Contracts Grnts-4Yr'!T12+'Other Contract Grnts-4Yr'!T12+'Investment Income-4Yr'!T12+'All Other E&amp;G-4Yr'!T12</f>
        <v>1912517.436</v>
      </c>
      <c r="U12" s="58">
        <f>+'Tuition-4Yr'!U12+'State Appropriations-4Yr'!U12+'Local Appropriations-4Yr'!U12+'Fed Contracts Grnts-4Yr'!U12+'Other Contract Grnts-4Yr'!U12+'Investment Income-4Yr'!U12+'All Other E&amp;G-4Yr'!U12</f>
        <v>1908886.4070000001</v>
      </c>
      <c r="V12" s="58">
        <f>+'Tuition-4Yr'!V12+'State Appropriations-4Yr'!V12+'Local Appropriations-4Yr'!V12+'Fed Contracts Grnts-4Yr'!V12+'Other Contract Grnts-4Yr'!V12+'Investment Income-4Yr'!V12+'All Other E&amp;G-4Yr'!V12</f>
        <v>2009676.2109999997</v>
      </c>
      <c r="W12" s="58">
        <f>+'Tuition-4Yr'!W12+'State Appropriations-4Yr'!W12+'Local Appropriations-4Yr'!W12+'Fed Contracts Grnts-4Yr'!W12+'Other Contract Grnts-4Yr'!W12+'Investment Income-4Yr'!W12+'All Other E&amp;G-4Yr'!W12</f>
        <v>2305980.8470000001</v>
      </c>
      <c r="X12" s="58">
        <f>+'Tuition-4Yr'!X12+'State Appropriations-4Yr'!X12+'Local Appropriations-4Yr'!X12+'Fed Contracts Grnts-4Yr'!X12+'Other Contract Grnts-4Yr'!X12+'Investment Income-4Yr'!X12+'All Other E&amp;G-4Yr'!X12</f>
        <v>2397729.8319999999</v>
      </c>
      <c r="Y12" s="58">
        <f>+'Tuition-4Yr'!Y12+'State Appropriations-4Yr'!Y12+'Local Appropriations-4Yr'!Y12+'Fed Contracts Grnts-4Yr'!Y12+'Other Contract Grnts-4Yr'!Y12+'Investment Income-4Yr'!Y12+'All Other E&amp;G-4Yr'!Y12</f>
        <v>2582088.1979999999</v>
      </c>
      <c r="Z12" s="58">
        <f>+'Tuition-4Yr'!Z12+'State Appropriations-4Yr'!Z12+'Local Appropriations-4Yr'!Z12+'Fed Contracts Grnts-4Yr'!Z12+'Other Contract Grnts-4Yr'!Z12+'Investment Income-4Yr'!Z12+'All Other E&amp;G-4Yr'!Z12</f>
        <v>2498095.8960000002</v>
      </c>
      <c r="AA12" s="58">
        <f>+'Tuition-4Yr'!AA12+'State Appropriations-4Yr'!AA12+'Local Appropriations-4Yr'!AA12+'Fed Contracts Grnts-4Yr'!AA12+'Other Contract Grnts-4Yr'!AA12+'Investment Income-4Yr'!AA12+'All Other E&amp;G-4Yr'!AA12</f>
        <v>2632064.7650000001</v>
      </c>
      <c r="AB12" s="58">
        <f>+'Tuition-4Yr'!AB12+'State Appropriations-4Yr'!AB12+'Local Appropriations-4Yr'!AB12+'Fed Contracts Grnts-4Yr'!AB12+'Other Contract Grnts-4Yr'!AB12+'Investment Income-4Yr'!AB12+'All Other E&amp;G-4Yr'!AB12</f>
        <v>3257958.4539999999</v>
      </c>
      <c r="AC12" s="58">
        <f>+'Tuition-4Yr'!AC12+'State Appropriations-4Yr'!AC12+'Local Appropriations-4Yr'!AC12+'Fed Contracts Grnts-4Yr'!AC12+'Other Contract Grnts-4Yr'!AC12+'Investment Income-4Yr'!AC12+'All Other E&amp;G-4Yr'!AC12</f>
        <v>3499926</v>
      </c>
      <c r="AD12" s="58">
        <f>+'Tuition-4Yr'!AD12+'State Appropriations-4Yr'!AD12+'Local Appropriations-4Yr'!AD12+'Fed Contracts Grnts-4Yr'!AD12+'Other Contract Grnts-4Yr'!AD12+'Investment Income-4Yr'!AD12+'All Other E&amp;G-4Yr'!AD12</f>
        <v>3340573.9819999998</v>
      </c>
      <c r="AE12" s="58">
        <f>+'Tuition-4Yr'!AE12+'State Appropriations-4Yr'!AE12+'Local Appropriations-4Yr'!AE12+'Fed Contracts Grnts-4Yr'!AE12+'Other Contract Grnts-4Yr'!AE12+'Investment Income-4Yr'!AE12+'All Other E&amp;G-4Yr'!AE12</f>
        <v>3452864.9580000001</v>
      </c>
      <c r="AF12" s="58">
        <f>+'Tuition-4Yr'!AF12+'State Appropriations-4Yr'!AF12+'Local Appropriations-4Yr'!AF12+'Fed Contracts Grnts-4Yr'!AF12+'Other Contract Grnts-4Yr'!AF12+'Investment Income-4Yr'!AF12+'All Other E&amp;G-4Yr'!AF12</f>
        <v>3226574.875</v>
      </c>
      <c r="AG12" s="58">
        <f>+'Tuition-4Yr'!AG12+'State Appropriations-4Yr'!AG12+'Local Appropriations-4Yr'!AG12+'Fed Contracts Grnts-4Yr'!AG12+'Other Contract Grnts-4Yr'!AG12+'Investment Income-4Yr'!AG12+'All Other E&amp;G-4Yr'!AG12</f>
        <v>3620421.1100000003</v>
      </c>
      <c r="AH12" s="58">
        <f>+'Tuition-4Yr'!AH12+'State Appropriations-4Yr'!AH12+'Local Appropriations-4Yr'!AH12+'Fed Contracts Grnts-4Yr'!AH12+'Other Contract Grnts-4Yr'!AH12+'Investment Income-4Yr'!AH12+'All Other E&amp;G-4Yr'!AH12</f>
        <v>3706423.8770000003</v>
      </c>
      <c r="AI12" s="58">
        <f>+'Tuition-4Yr'!AI12+'State Appropriations-4Yr'!AI12+'Local Appropriations-4Yr'!AI12+'Fed Contracts Grnts-4Yr'!AI12+'Other Contract Grnts-4Yr'!AI12+'Investment Income-4Yr'!AI12+'All Other E&amp;G-4Yr'!AI12</f>
        <v>3837379.8880000003</v>
      </c>
      <c r="AJ12" s="58">
        <f>+'Tuition-4Yr'!AJ12+'State Appropriations-4Yr'!AJ12+'Local Appropriations-4Yr'!AJ12+'Fed Contracts Grnts-4Yr'!AJ12+'Other Contract Grnts-4Yr'!AJ12+'Investment Income-4Yr'!AJ12+'All Other E&amp;G-4Yr'!AJ12</f>
        <v>0</v>
      </c>
      <c r="AK12" s="58">
        <f>+'Tuition-4Yr'!AK12+'State Appropriations-4Yr'!AK12+'Local Appropriations-4Yr'!AK12+'Fed Contracts Grnts-4Yr'!AK12+'Other Contract Grnts-4Yr'!AK12+'Investment Income-4Yr'!AK12+'All Other E&amp;G-4Yr'!AK12</f>
        <v>4134637.713</v>
      </c>
    </row>
    <row r="13" spans="1:37" ht="12.75" customHeight="1">
      <c r="A13" s="1" t="s">
        <v>27</v>
      </c>
      <c r="B13" s="58">
        <f>+'Tuition-4Yr'!B13+'State Appropriations-4Yr'!B13+'Local Appropriations-4Yr'!B13+'Fed Contracts Grnts-4Yr'!B13+'Other Contract Grnts-4Yr'!B13+'Investment Income-4Yr'!B13+'All Other E&amp;G-4Yr'!B13</f>
        <v>765743</v>
      </c>
      <c r="C13" s="58">
        <f>+'Tuition-4Yr'!C13+'State Appropriations-4Yr'!C13+'Local Appropriations-4Yr'!C13+'Fed Contracts Grnts-4Yr'!C13+'Other Contract Grnts-4Yr'!C13+'Investment Income-4Yr'!C13+'All Other E&amp;G-4Yr'!C13</f>
        <v>837406</v>
      </c>
      <c r="D13" s="58">
        <f>+'Tuition-4Yr'!D13+'State Appropriations-4Yr'!D13+'Local Appropriations-4Yr'!D13+'Fed Contracts Grnts-4Yr'!D13+'Other Contract Grnts-4Yr'!D13+'Investment Income-4Yr'!D13+'All Other E&amp;G-4Yr'!D13</f>
        <v>874946</v>
      </c>
      <c r="E13" s="58">
        <f>+'Tuition-4Yr'!E13+'State Appropriations-4Yr'!E13+'Local Appropriations-4Yr'!E13+'Fed Contracts Grnts-4Yr'!E13+'Other Contract Grnts-4Yr'!E13+'Investment Income-4Yr'!E13+'All Other E&amp;G-4Yr'!E13</f>
        <v>0</v>
      </c>
      <c r="F13" s="58">
        <f>+'Tuition-4Yr'!F13+'State Appropriations-4Yr'!F13+'Local Appropriations-4Yr'!F13+'Fed Contracts Grnts-4Yr'!F13+'Other Contract Grnts-4Yr'!F13+'Investment Income-4Yr'!F13+'All Other E&amp;G-4Yr'!F13</f>
        <v>0</v>
      </c>
      <c r="G13" s="58">
        <f>+'Tuition-4Yr'!G13+'State Appropriations-4Yr'!G13+'Local Appropriations-4Yr'!G13+'Fed Contracts Grnts-4Yr'!G13+'Other Contract Grnts-4Yr'!G13+'Investment Income-4Yr'!G13+'All Other E&amp;G-4Yr'!G13</f>
        <v>0</v>
      </c>
      <c r="H13" s="58">
        <f>+'Tuition-4Yr'!H13+'State Appropriations-4Yr'!H13+'Local Appropriations-4Yr'!H13+'Fed Contracts Grnts-4Yr'!H13+'Other Contract Grnts-4Yr'!H13+'Investment Income-4Yr'!H13+'All Other E&amp;G-4Yr'!H13</f>
        <v>0</v>
      </c>
      <c r="I13" s="58">
        <f>+'Tuition-4Yr'!I13+'State Appropriations-4Yr'!I13+'Local Appropriations-4Yr'!I13+'Fed Contracts Grnts-4Yr'!I13+'Other Contract Grnts-4Yr'!I13+'Investment Income-4Yr'!I13+'All Other E&amp;G-4Yr'!I13</f>
        <v>1160775.1600000001</v>
      </c>
      <c r="J13" s="58">
        <f>+'Tuition-4Yr'!J13+'State Appropriations-4Yr'!J13+'Local Appropriations-4Yr'!J13+'Fed Contracts Grnts-4Yr'!J13+'Other Contract Grnts-4Yr'!J13+'Investment Income-4Yr'!J13+'All Other E&amp;G-4Yr'!J13</f>
        <v>1239676.851</v>
      </c>
      <c r="K13" s="58">
        <f>+'Tuition-4Yr'!K13+'State Appropriations-4Yr'!K13+'Local Appropriations-4Yr'!K13+'Fed Contracts Grnts-4Yr'!K13+'Other Contract Grnts-4Yr'!K13+'Investment Income-4Yr'!K13+'All Other E&amp;G-4Yr'!K13</f>
        <v>1323208.845</v>
      </c>
      <c r="L13" s="58">
        <f>+'Tuition-4Yr'!L13+'State Appropriations-4Yr'!L13+'Local Appropriations-4Yr'!L13+'Fed Contracts Grnts-4Yr'!L13+'Other Contract Grnts-4Yr'!L13+'Investment Income-4Yr'!L13+'All Other E&amp;G-4Yr'!L13</f>
        <v>1364583.3439999998</v>
      </c>
      <c r="M13" s="58">
        <f>+'Tuition-4Yr'!M13+'State Appropriations-4Yr'!M13+'Local Appropriations-4Yr'!M13+'Fed Contracts Grnts-4Yr'!M13+'Other Contract Grnts-4Yr'!M13+'Investment Income-4Yr'!M13+'All Other E&amp;G-4Yr'!M13</f>
        <v>1500955.2289999998</v>
      </c>
      <c r="N13" s="58">
        <f>+'Tuition-4Yr'!N13+'State Appropriations-4Yr'!N13+'Local Appropriations-4Yr'!N13+'Fed Contracts Grnts-4Yr'!N13+'Other Contract Grnts-4Yr'!N13+'Investment Income-4Yr'!N13+'All Other E&amp;G-4Yr'!N13</f>
        <v>1545880.183</v>
      </c>
      <c r="O13" s="58">
        <f>+'Tuition-4Yr'!O13+'State Appropriations-4Yr'!O13+'Local Appropriations-4Yr'!O13+'Fed Contracts Grnts-4Yr'!O13+'Other Contract Grnts-4Yr'!O13+'Investment Income-4Yr'!O13+'All Other E&amp;G-4Yr'!O13</f>
        <v>1622611.1579999998</v>
      </c>
      <c r="P13" s="58">
        <f>+'Tuition-4Yr'!P13+'State Appropriations-4Yr'!P13+'Local Appropriations-4Yr'!P13+'Fed Contracts Grnts-4Yr'!P13+'Other Contract Grnts-4Yr'!P13+'Investment Income-4Yr'!P13+'All Other E&amp;G-4Yr'!P13</f>
        <v>0</v>
      </c>
      <c r="Q13" s="58">
        <f>+'Tuition-4Yr'!Q13+'State Appropriations-4Yr'!Q13+'Local Appropriations-4Yr'!Q13+'Fed Contracts Grnts-4Yr'!Q13+'Other Contract Grnts-4Yr'!Q13+'Investment Income-4Yr'!Q13+'All Other E&amp;G-4Yr'!Q13</f>
        <v>0</v>
      </c>
      <c r="R13" s="58">
        <f>+'Tuition-4Yr'!R13+'State Appropriations-4Yr'!R13+'Local Appropriations-4Yr'!R13+'Fed Contracts Grnts-4Yr'!R13+'Other Contract Grnts-4Yr'!R13+'Investment Income-4Yr'!R13+'All Other E&amp;G-4Yr'!R13</f>
        <v>1902359.2459999998</v>
      </c>
      <c r="S13" s="58">
        <f>+'Tuition-4Yr'!S13+'State Appropriations-4Yr'!S13+'Local Appropriations-4Yr'!S13+'Fed Contracts Grnts-4Yr'!S13+'Other Contract Grnts-4Yr'!S13+'Investment Income-4Yr'!S13+'All Other E&amp;G-4Yr'!S13</f>
        <v>1977576.4790000003</v>
      </c>
      <c r="T13" s="58">
        <f>+'Tuition-4Yr'!T13+'State Appropriations-4Yr'!T13+'Local Appropriations-4Yr'!T13+'Fed Contracts Grnts-4Yr'!T13+'Other Contract Grnts-4Yr'!T13+'Investment Income-4Yr'!T13+'All Other E&amp;G-4Yr'!T13</f>
        <v>2109623.6640000003</v>
      </c>
      <c r="U13" s="58">
        <f>+'Tuition-4Yr'!U13+'State Appropriations-4Yr'!U13+'Local Appropriations-4Yr'!U13+'Fed Contracts Grnts-4Yr'!U13+'Other Contract Grnts-4Yr'!U13+'Investment Income-4Yr'!U13+'All Other E&amp;G-4Yr'!U13</f>
        <v>2117428.0549999997</v>
      </c>
      <c r="V13" s="58">
        <f>+'Tuition-4Yr'!V13+'State Appropriations-4Yr'!V13+'Local Appropriations-4Yr'!V13+'Fed Contracts Grnts-4Yr'!V13+'Other Contract Grnts-4Yr'!V13+'Investment Income-4Yr'!V13+'All Other E&amp;G-4Yr'!V13</f>
        <v>2272972.932</v>
      </c>
      <c r="W13" s="58">
        <f>+'Tuition-4Yr'!W13+'State Appropriations-4Yr'!W13+'Local Appropriations-4Yr'!W13+'Fed Contracts Grnts-4Yr'!W13+'Other Contract Grnts-4Yr'!W13+'Investment Income-4Yr'!W13+'All Other E&amp;G-4Yr'!W13</f>
        <v>2484522.3530000001</v>
      </c>
      <c r="X13" s="58">
        <f>+'Tuition-4Yr'!X13+'State Appropriations-4Yr'!X13+'Local Appropriations-4Yr'!X13+'Fed Contracts Grnts-4Yr'!X13+'Other Contract Grnts-4Yr'!X13+'Investment Income-4Yr'!X13+'All Other E&amp;G-4Yr'!X13</f>
        <v>2407517.3160000001</v>
      </c>
      <c r="Y13" s="58">
        <f>+'Tuition-4Yr'!Y13+'State Appropriations-4Yr'!Y13+'Local Appropriations-4Yr'!Y13+'Fed Contracts Grnts-4Yr'!Y13+'Other Contract Grnts-4Yr'!Y13+'Investment Income-4Yr'!Y13+'All Other E&amp;G-4Yr'!Y13</f>
        <v>2514060.0799999996</v>
      </c>
      <c r="Z13" s="58">
        <f>+'Tuition-4Yr'!Z13+'State Appropriations-4Yr'!Z13+'Local Appropriations-4Yr'!Z13+'Fed Contracts Grnts-4Yr'!Z13+'Other Contract Grnts-4Yr'!Z13+'Investment Income-4Yr'!Z13+'All Other E&amp;G-4Yr'!Z13</f>
        <v>2715592.0180000002</v>
      </c>
      <c r="AA13" s="58">
        <f>+'Tuition-4Yr'!AA13+'State Appropriations-4Yr'!AA13+'Local Appropriations-4Yr'!AA13+'Fed Contracts Grnts-4Yr'!AA13+'Other Contract Grnts-4Yr'!AA13+'Investment Income-4Yr'!AA13+'All Other E&amp;G-4Yr'!AA13</f>
        <v>2306088.4589999998</v>
      </c>
      <c r="AB13" s="58">
        <f>+'Tuition-4Yr'!AB13+'State Appropriations-4Yr'!AB13+'Local Appropriations-4Yr'!AB13+'Fed Contracts Grnts-4Yr'!AB13+'Other Contract Grnts-4Yr'!AB13+'Investment Income-4Yr'!AB13+'All Other E&amp;G-4Yr'!AB13</f>
        <v>2999910.7879999997</v>
      </c>
      <c r="AC13" s="58">
        <f>+'Tuition-4Yr'!AC13+'State Appropriations-4Yr'!AC13+'Local Appropriations-4Yr'!AC13+'Fed Contracts Grnts-4Yr'!AC13+'Other Contract Grnts-4Yr'!AC13+'Investment Income-4Yr'!AC13+'All Other E&amp;G-4Yr'!AC13</f>
        <v>3183769</v>
      </c>
      <c r="AD13" s="58">
        <f>+'Tuition-4Yr'!AD13+'State Appropriations-4Yr'!AD13+'Local Appropriations-4Yr'!AD13+'Fed Contracts Grnts-4Yr'!AD13+'Other Contract Grnts-4Yr'!AD13+'Investment Income-4Yr'!AD13+'All Other E&amp;G-4Yr'!AD13</f>
        <v>2925469.9539999999</v>
      </c>
      <c r="AE13" s="58">
        <f>+'Tuition-4Yr'!AE13+'State Appropriations-4Yr'!AE13+'Local Appropriations-4Yr'!AE13+'Fed Contracts Grnts-4Yr'!AE13+'Other Contract Grnts-4Yr'!AE13+'Investment Income-4Yr'!AE13+'All Other E&amp;G-4Yr'!AE13</f>
        <v>2911151.727</v>
      </c>
      <c r="AF13" s="58">
        <f>+'Tuition-4Yr'!AF13+'State Appropriations-4Yr'!AF13+'Local Appropriations-4Yr'!AF13+'Fed Contracts Grnts-4Yr'!AF13+'Other Contract Grnts-4Yr'!AF13+'Investment Income-4Yr'!AF13+'All Other E&amp;G-4Yr'!AF13</f>
        <v>2925814.4190000002</v>
      </c>
      <c r="AG13" s="58">
        <f>+'Tuition-4Yr'!AG13+'State Appropriations-4Yr'!AG13+'Local Appropriations-4Yr'!AG13+'Fed Contracts Grnts-4Yr'!AG13+'Other Contract Grnts-4Yr'!AG13+'Investment Income-4Yr'!AG13+'All Other E&amp;G-4Yr'!AG13</f>
        <v>3126400.2980000004</v>
      </c>
      <c r="AH13" s="58">
        <f>+'Tuition-4Yr'!AH13+'State Appropriations-4Yr'!AH13+'Local Appropriations-4Yr'!AH13+'Fed Contracts Grnts-4Yr'!AH13+'Other Contract Grnts-4Yr'!AH13+'Investment Income-4Yr'!AH13+'All Other E&amp;G-4Yr'!AH13</f>
        <v>3332502.0630000001</v>
      </c>
      <c r="AI13" s="58">
        <f>+'Tuition-4Yr'!AI13+'State Appropriations-4Yr'!AI13+'Local Appropriations-4Yr'!AI13+'Fed Contracts Grnts-4Yr'!AI13+'Other Contract Grnts-4Yr'!AI13+'Investment Income-4Yr'!AI13+'All Other E&amp;G-4Yr'!AI13</f>
        <v>3433554.2579999999</v>
      </c>
      <c r="AJ13" s="58">
        <f>+'Tuition-4Yr'!AJ13+'State Appropriations-4Yr'!AJ13+'Local Appropriations-4Yr'!AJ13+'Fed Contracts Grnts-4Yr'!AJ13+'Other Contract Grnts-4Yr'!AJ13+'Investment Income-4Yr'!AJ13+'All Other E&amp;G-4Yr'!AJ13</f>
        <v>0</v>
      </c>
      <c r="AK13" s="58">
        <f>+'Tuition-4Yr'!AK13+'State Appropriations-4Yr'!AK13+'Local Appropriations-4Yr'!AK13+'Fed Contracts Grnts-4Yr'!AK13+'Other Contract Grnts-4Yr'!AK13+'Investment Income-4Yr'!AK13+'All Other E&amp;G-4Yr'!AK13</f>
        <v>4008095.8480000002</v>
      </c>
    </row>
    <row r="14" spans="1:37" ht="12.75" customHeight="1">
      <c r="A14" s="1" t="s">
        <v>28</v>
      </c>
      <c r="B14" s="58">
        <f>+'Tuition-4Yr'!B14+'State Appropriations-4Yr'!B14+'Local Appropriations-4Yr'!B14+'Fed Contracts Grnts-4Yr'!B14+'Other Contract Grnts-4Yr'!B14+'Investment Income-4Yr'!B14+'All Other E&amp;G-4Yr'!B14</f>
        <v>633276</v>
      </c>
      <c r="C14" s="58">
        <f>+'Tuition-4Yr'!C14+'State Appropriations-4Yr'!C14+'Local Appropriations-4Yr'!C14+'Fed Contracts Grnts-4Yr'!C14+'Other Contract Grnts-4Yr'!C14+'Investment Income-4Yr'!C14+'All Other E&amp;G-4Yr'!C14</f>
        <v>735112</v>
      </c>
      <c r="D14" s="58">
        <f>+'Tuition-4Yr'!D14+'State Appropriations-4Yr'!D14+'Local Appropriations-4Yr'!D14+'Fed Contracts Grnts-4Yr'!D14+'Other Contract Grnts-4Yr'!D14+'Investment Income-4Yr'!D14+'All Other E&amp;G-4Yr'!D14</f>
        <v>790815</v>
      </c>
      <c r="E14" s="58">
        <f>+'Tuition-4Yr'!E14+'State Appropriations-4Yr'!E14+'Local Appropriations-4Yr'!E14+'Fed Contracts Grnts-4Yr'!E14+'Other Contract Grnts-4Yr'!E14+'Investment Income-4Yr'!E14+'All Other E&amp;G-4Yr'!E14</f>
        <v>0</v>
      </c>
      <c r="F14" s="58">
        <f>+'Tuition-4Yr'!F14+'State Appropriations-4Yr'!F14+'Local Appropriations-4Yr'!F14+'Fed Contracts Grnts-4Yr'!F14+'Other Contract Grnts-4Yr'!F14+'Investment Income-4Yr'!F14+'All Other E&amp;G-4Yr'!F14</f>
        <v>0</v>
      </c>
      <c r="G14" s="58">
        <f>+'Tuition-4Yr'!G14+'State Appropriations-4Yr'!G14+'Local Appropriations-4Yr'!G14+'Fed Contracts Grnts-4Yr'!G14+'Other Contract Grnts-4Yr'!G14+'Investment Income-4Yr'!G14+'All Other E&amp;G-4Yr'!G14</f>
        <v>0</v>
      </c>
      <c r="H14" s="58">
        <f>+'Tuition-4Yr'!H14+'State Appropriations-4Yr'!H14+'Local Appropriations-4Yr'!H14+'Fed Contracts Grnts-4Yr'!H14+'Other Contract Grnts-4Yr'!H14+'Investment Income-4Yr'!H14+'All Other E&amp;G-4Yr'!H14</f>
        <v>0</v>
      </c>
      <c r="I14" s="58">
        <f>+'Tuition-4Yr'!I14+'State Appropriations-4Yr'!I14+'Local Appropriations-4Yr'!I14+'Fed Contracts Grnts-4Yr'!I14+'Other Contract Grnts-4Yr'!I14+'Investment Income-4Yr'!I14+'All Other E&amp;G-4Yr'!I14</f>
        <v>1246993.4049999998</v>
      </c>
      <c r="J14" s="58">
        <f>+'Tuition-4Yr'!J14+'State Appropriations-4Yr'!J14+'Local Appropriations-4Yr'!J14+'Fed Contracts Grnts-4Yr'!J14+'Other Contract Grnts-4Yr'!J14+'Investment Income-4Yr'!J14+'All Other E&amp;G-4Yr'!J14</f>
        <v>1182522.0620000002</v>
      </c>
      <c r="K14" s="58">
        <f>+'Tuition-4Yr'!K14+'State Appropriations-4Yr'!K14+'Local Appropriations-4Yr'!K14+'Fed Contracts Grnts-4Yr'!K14+'Other Contract Grnts-4Yr'!K14+'Investment Income-4Yr'!K14+'All Other E&amp;G-4Yr'!K14</f>
        <v>1323222.003</v>
      </c>
      <c r="L14" s="58">
        <f>+'Tuition-4Yr'!L14+'State Appropriations-4Yr'!L14+'Local Appropriations-4Yr'!L14+'Fed Contracts Grnts-4Yr'!L14+'Other Contract Grnts-4Yr'!L14+'Investment Income-4Yr'!L14+'All Other E&amp;G-4Yr'!L14</f>
        <v>1371517.0469999998</v>
      </c>
      <c r="M14" s="58">
        <f>+'Tuition-4Yr'!M14+'State Appropriations-4Yr'!M14+'Local Appropriations-4Yr'!M14+'Fed Contracts Grnts-4Yr'!M14+'Other Contract Grnts-4Yr'!M14+'Investment Income-4Yr'!M14+'All Other E&amp;G-4Yr'!M14</f>
        <v>1420194.693</v>
      </c>
      <c r="N14" s="58">
        <f>+'Tuition-4Yr'!N14+'State Appropriations-4Yr'!N14+'Local Appropriations-4Yr'!N14+'Fed Contracts Grnts-4Yr'!N14+'Other Contract Grnts-4Yr'!N14+'Investment Income-4Yr'!N14+'All Other E&amp;G-4Yr'!N14</f>
        <v>1542256.263</v>
      </c>
      <c r="O14" s="58">
        <f>+'Tuition-4Yr'!O14+'State Appropriations-4Yr'!O14+'Local Appropriations-4Yr'!O14+'Fed Contracts Grnts-4Yr'!O14+'Other Contract Grnts-4Yr'!O14+'Investment Income-4Yr'!O14+'All Other E&amp;G-4Yr'!O14</f>
        <v>1711560.40879</v>
      </c>
      <c r="P14" s="58">
        <f>+'Tuition-4Yr'!P14+'State Appropriations-4Yr'!P14+'Local Appropriations-4Yr'!P14+'Fed Contracts Grnts-4Yr'!P14+'Other Contract Grnts-4Yr'!P14+'Investment Income-4Yr'!P14+'All Other E&amp;G-4Yr'!P14</f>
        <v>0</v>
      </c>
      <c r="Q14" s="58">
        <f>+'Tuition-4Yr'!Q14+'State Appropriations-4Yr'!Q14+'Local Appropriations-4Yr'!Q14+'Fed Contracts Grnts-4Yr'!Q14+'Other Contract Grnts-4Yr'!Q14+'Investment Income-4Yr'!Q14+'All Other E&amp;G-4Yr'!Q14</f>
        <v>0</v>
      </c>
      <c r="R14" s="58">
        <f>+'Tuition-4Yr'!R14+'State Appropriations-4Yr'!R14+'Local Appropriations-4Yr'!R14+'Fed Contracts Grnts-4Yr'!R14+'Other Contract Grnts-4Yr'!R14+'Investment Income-4Yr'!R14+'All Other E&amp;G-4Yr'!R14</f>
        <v>2154437.1740000001</v>
      </c>
      <c r="S14" s="58">
        <f>+'Tuition-4Yr'!S14+'State Appropriations-4Yr'!S14+'Local Appropriations-4Yr'!S14+'Fed Contracts Grnts-4Yr'!S14+'Other Contract Grnts-4Yr'!S14+'Investment Income-4Yr'!S14+'All Other E&amp;G-4Yr'!S14</f>
        <v>2271713.7749999994</v>
      </c>
      <c r="T14" s="58">
        <f>+'Tuition-4Yr'!T14+'State Appropriations-4Yr'!T14+'Local Appropriations-4Yr'!T14+'Fed Contracts Grnts-4Yr'!T14+'Other Contract Grnts-4Yr'!T14+'Investment Income-4Yr'!T14+'All Other E&amp;G-4Yr'!T14</f>
        <v>2616208.3390000002</v>
      </c>
      <c r="U14" s="58">
        <f>+'Tuition-4Yr'!U14+'State Appropriations-4Yr'!U14+'Local Appropriations-4Yr'!U14+'Fed Contracts Grnts-4Yr'!U14+'Other Contract Grnts-4Yr'!U14+'Investment Income-4Yr'!U14+'All Other E&amp;G-4Yr'!U14</f>
        <v>2573256.5959999999</v>
      </c>
      <c r="V14" s="58">
        <f>+'Tuition-4Yr'!V14+'State Appropriations-4Yr'!V14+'Local Appropriations-4Yr'!V14+'Fed Contracts Grnts-4Yr'!V14+'Other Contract Grnts-4Yr'!V14+'Investment Income-4Yr'!V14+'All Other E&amp;G-4Yr'!V14</f>
        <v>2652291.13</v>
      </c>
      <c r="W14" s="58">
        <f>+'Tuition-4Yr'!W14+'State Appropriations-4Yr'!W14+'Local Appropriations-4Yr'!W14+'Fed Contracts Grnts-4Yr'!W14+'Other Contract Grnts-4Yr'!W14+'Investment Income-4Yr'!W14+'All Other E&amp;G-4Yr'!W14</f>
        <v>3410155.699</v>
      </c>
      <c r="X14" s="58">
        <f>+'Tuition-4Yr'!X14+'State Appropriations-4Yr'!X14+'Local Appropriations-4Yr'!X14+'Fed Contracts Grnts-4Yr'!X14+'Other Contract Grnts-4Yr'!X14+'Investment Income-4Yr'!X14+'All Other E&amp;G-4Yr'!X14</f>
        <v>3054981.0719999997</v>
      </c>
      <c r="Y14" s="58">
        <f>+'Tuition-4Yr'!Y14+'State Appropriations-4Yr'!Y14+'Local Appropriations-4Yr'!Y14+'Fed Contracts Grnts-4Yr'!Y14+'Other Contract Grnts-4Yr'!Y14+'Investment Income-4Yr'!Y14+'All Other E&amp;G-4Yr'!Y14</f>
        <v>3334217.9</v>
      </c>
      <c r="Z14" s="58">
        <f>+'Tuition-4Yr'!Z14+'State Appropriations-4Yr'!Z14+'Local Appropriations-4Yr'!Z14+'Fed Contracts Grnts-4Yr'!Z14+'Other Contract Grnts-4Yr'!Z14+'Investment Income-4Yr'!Z14+'All Other E&amp;G-4Yr'!Z14</f>
        <v>3498965.4339999999</v>
      </c>
      <c r="AA14" s="58">
        <f>+'Tuition-4Yr'!AA14+'State Appropriations-4Yr'!AA14+'Local Appropriations-4Yr'!AA14+'Fed Contracts Grnts-4Yr'!AA14+'Other Contract Grnts-4Yr'!AA14+'Investment Income-4Yr'!AA14+'All Other E&amp;G-4Yr'!AA14</f>
        <v>2784252.3170000003</v>
      </c>
      <c r="AB14" s="58">
        <f>+'Tuition-4Yr'!AB14+'State Appropriations-4Yr'!AB14+'Local Appropriations-4Yr'!AB14+'Fed Contracts Grnts-4Yr'!AB14+'Other Contract Grnts-4Yr'!AB14+'Investment Income-4Yr'!AB14+'All Other E&amp;G-4Yr'!AB14</f>
        <v>3962057.7719999999</v>
      </c>
      <c r="AC14" s="58">
        <f>+'Tuition-4Yr'!AC14+'State Appropriations-4Yr'!AC14+'Local Appropriations-4Yr'!AC14+'Fed Contracts Grnts-4Yr'!AC14+'Other Contract Grnts-4Yr'!AC14+'Investment Income-4Yr'!AC14+'All Other E&amp;G-4Yr'!AC14</f>
        <v>4202939</v>
      </c>
      <c r="AD14" s="58">
        <f>+'Tuition-4Yr'!AD14+'State Appropriations-4Yr'!AD14+'Local Appropriations-4Yr'!AD14+'Fed Contracts Grnts-4Yr'!AD14+'Other Contract Grnts-4Yr'!AD14+'Investment Income-4Yr'!AD14+'All Other E&amp;G-4Yr'!AD14</f>
        <v>4272612.3339999998</v>
      </c>
      <c r="AE14" s="58">
        <f>+'Tuition-4Yr'!AE14+'State Appropriations-4Yr'!AE14+'Local Appropriations-4Yr'!AE14+'Fed Contracts Grnts-4Yr'!AE14+'Other Contract Grnts-4Yr'!AE14+'Investment Income-4Yr'!AE14+'All Other E&amp;G-4Yr'!AE14</f>
        <v>4368569.9000000004</v>
      </c>
      <c r="AF14" s="58">
        <f>+'Tuition-4Yr'!AF14+'State Appropriations-4Yr'!AF14+'Local Appropriations-4Yr'!AF14+'Fed Contracts Grnts-4Yr'!AF14+'Other Contract Grnts-4Yr'!AF14+'Investment Income-4Yr'!AF14+'All Other E&amp;G-4Yr'!AF14</f>
        <v>4049476.6129999999</v>
      </c>
      <c r="AG14" s="58">
        <f>+'Tuition-4Yr'!AG14+'State Appropriations-4Yr'!AG14+'Local Appropriations-4Yr'!AG14+'Fed Contracts Grnts-4Yr'!AG14+'Other Contract Grnts-4Yr'!AG14+'Investment Income-4Yr'!AG14+'All Other E&amp;G-4Yr'!AG14</f>
        <v>4568685.5549999997</v>
      </c>
      <c r="AH14" s="58">
        <f>+'Tuition-4Yr'!AH14+'State Appropriations-4Yr'!AH14+'Local Appropriations-4Yr'!AH14+'Fed Contracts Grnts-4Yr'!AH14+'Other Contract Grnts-4Yr'!AH14+'Investment Income-4Yr'!AH14+'All Other E&amp;G-4Yr'!AH14</f>
        <v>4728536.7689999994</v>
      </c>
      <c r="AI14" s="58">
        <f>+'Tuition-4Yr'!AI14+'State Appropriations-4Yr'!AI14+'Local Appropriations-4Yr'!AI14+'Fed Contracts Grnts-4Yr'!AI14+'Other Contract Grnts-4Yr'!AI14+'Investment Income-4Yr'!AI14+'All Other E&amp;G-4Yr'!AI14</f>
        <v>4929120.1960000005</v>
      </c>
      <c r="AJ14" s="58">
        <f>+'Tuition-4Yr'!AJ14+'State Appropriations-4Yr'!AJ14+'Local Appropriations-4Yr'!AJ14+'Fed Contracts Grnts-4Yr'!AJ14+'Other Contract Grnts-4Yr'!AJ14+'Investment Income-4Yr'!AJ14+'All Other E&amp;G-4Yr'!AJ14</f>
        <v>0</v>
      </c>
      <c r="AK14" s="58">
        <f>+'Tuition-4Yr'!AK14+'State Appropriations-4Yr'!AK14+'Local Appropriations-4Yr'!AK14+'Fed Contracts Grnts-4Yr'!AK14+'Other Contract Grnts-4Yr'!AK14+'Investment Income-4Yr'!AK14+'All Other E&amp;G-4Yr'!AK14</f>
        <v>5469018.3859999999</v>
      </c>
    </row>
    <row r="15" spans="1:37" ht="12.75" customHeight="1">
      <c r="A15" s="1" t="s">
        <v>29</v>
      </c>
      <c r="B15" s="58">
        <f>+'Tuition-4Yr'!B15+'State Appropriations-4Yr'!B15+'Local Appropriations-4Yr'!B15+'Fed Contracts Grnts-4Yr'!B15+'Other Contract Grnts-4Yr'!B15+'Investment Income-4Yr'!B15+'All Other E&amp;G-4Yr'!B15</f>
        <v>421164</v>
      </c>
      <c r="C15" s="58">
        <f>+'Tuition-4Yr'!C15+'State Appropriations-4Yr'!C15+'Local Appropriations-4Yr'!C15+'Fed Contracts Grnts-4Yr'!C15+'Other Contract Grnts-4Yr'!C15+'Investment Income-4Yr'!C15+'All Other E&amp;G-4Yr'!C15</f>
        <v>435796</v>
      </c>
      <c r="D15" s="58">
        <f>+'Tuition-4Yr'!D15+'State Appropriations-4Yr'!D15+'Local Appropriations-4Yr'!D15+'Fed Contracts Grnts-4Yr'!D15+'Other Contract Grnts-4Yr'!D15+'Investment Income-4Yr'!D15+'All Other E&amp;G-4Yr'!D15</f>
        <v>473633</v>
      </c>
      <c r="E15" s="58">
        <f>+'Tuition-4Yr'!E15+'State Appropriations-4Yr'!E15+'Local Appropriations-4Yr'!E15+'Fed Contracts Grnts-4Yr'!E15+'Other Contract Grnts-4Yr'!E15+'Investment Income-4Yr'!E15+'All Other E&amp;G-4Yr'!E15</f>
        <v>0</v>
      </c>
      <c r="F15" s="58">
        <f>+'Tuition-4Yr'!F15+'State Appropriations-4Yr'!F15+'Local Appropriations-4Yr'!F15+'Fed Contracts Grnts-4Yr'!F15+'Other Contract Grnts-4Yr'!F15+'Investment Income-4Yr'!F15+'All Other E&amp;G-4Yr'!F15</f>
        <v>0</v>
      </c>
      <c r="G15" s="58">
        <f>+'Tuition-4Yr'!G15+'State Appropriations-4Yr'!G15+'Local Appropriations-4Yr'!G15+'Fed Contracts Grnts-4Yr'!G15+'Other Contract Grnts-4Yr'!G15+'Investment Income-4Yr'!G15+'All Other E&amp;G-4Yr'!G15</f>
        <v>0</v>
      </c>
      <c r="H15" s="58">
        <f>+'Tuition-4Yr'!H15+'State Appropriations-4Yr'!H15+'Local Appropriations-4Yr'!H15+'Fed Contracts Grnts-4Yr'!H15+'Other Contract Grnts-4Yr'!H15+'Investment Income-4Yr'!H15+'All Other E&amp;G-4Yr'!H15</f>
        <v>0</v>
      </c>
      <c r="I15" s="58">
        <f>+'Tuition-4Yr'!I15+'State Appropriations-4Yr'!I15+'Local Appropriations-4Yr'!I15+'Fed Contracts Grnts-4Yr'!I15+'Other Contract Grnts-4Yr'!I15+'Investment Income-4Yr'!I15+'All Other E&amp;G-4Yr'!I15</f>
        <v>628239.39800000016</v>
      </c>
      <c r="J15" s="58">
        <f>+'Tuition-4Yr'!J15+'State Appropriations-4Yr'!J15+'Local Appropriations-4Yr'!J15+'Fed Contracts Grnts-4Yr'!J15+'Other Contract Grnts-4Yr'!J15+'Investment Income-4Yr'!J15+'All Other E&amp;G-4Yr'!J15</f>
        <v>641802.92700000014</v>
      </c>
      <c r="K15" s="58">
        <f>+'Tuition-4Yr'!K15+'State Appropriations-4Yr'!K15+'Local Appropriations-4Yr'!K15+'Fed Contracts Grnts-4Yr'!K15+'Other Contract Grnts-4Yr'!K15+'Investment Income-4Yr'!K15+'All Other E&amp;G-4Yr'!K15</f>
        <v>696913.4</v>
      </c>
      <c r="L15" s="58">
        <f>+'Tuition-4Yr'!L15+'State Appropriations-4Yr'!L15+'Local Appropriations-4Yr'!L15+'Fed Contracts Grnts-4Yr'!L15+'Other Contract Grnts-4Yr'!L15+'Investment Income-4Yr'!L15+'All Other E&amp;G-4Yr'!L15</f>
        <v>731312.84400000004</v>
      </c>
      <c r="M15" s="58">
        <f>+'Tuition-4Yr'!M15+'State Appropriations-4Yr'!M15+'Local Appropriations-4Yr'!M15+'Fed Contracts Grnts-4Yr'!M15+'Other Contract Grnts-4Yr'!M15+'Investment Income-4Yr'!M15+'All Other E&amp;G-4Yr'!M15</f>
        <v>843816.5</v>
      </c>
      <c r="N15" s="58">
        <f>+'Tuition-4Yr'!N15+'State Appropriations-4Yr'!N15+'Local Appropriations-4Yr'!N15+'Fed Contracts Grnts-4Yr'!N15+'Other Contract Grnts-4Yr'!N15+'Investment Income-4Yr'!N15+'All Other E&amp;G-4Yr'!N15</f>
        <v>881047.83030000003</v>
      </c>
      <c r="O15" s="58">
        <f>+'Tuition-4Yr'!O15+'State Appropriations-4Yr'!O15+'Local Appropriations-4Yr'!O15+'Fed Contracts Grnts-4Yr'!O15+'Other Contract Grnts-4Yr'!O15+'Investment Income-4Yr'!O15+'All Other E&amp;G-4Yr'!O15</f>
        <v>894797.32000000007</v>
      </c>
      <c r="P15" s="58">
        <f>+'Tuition-4Yr'!P15+'State Appropriations-4Yr'!P15+'Local Appropriations-4Yr'!P15+'Fed Contracts Grnts-4Yr'!P15+'Other Contract Grnts-4Yr'!P15+'Investment Income-4Yr'!P15+'All Other E&amp;G-4Yr'!P15</f>
        <v>0</v>
      </c>
      <c r="Q15" s="58">
        <f>+'Tuition-4Yr'!Q15+'State Appropriations-4Yr'!Q15+'Local Appropriations-4Yr'!Q15+'Fed Contracts Grnts-4Yr'!Q15+'Other Contract Grnts-4Yr'!Q15+'Investment Income-4Yr'!Q15+'All Other E&amp;G-4Yr'!Q15</f>
        <v>0</v>
      </c>
      <c r="R15" s="58">
        <f>+'Tuition-4Yr'!R15+'State Appropriations-4Yr'!R15+'Local Appropriations-4Yr'!R15+'Fed Contracts Grnts-4Yr'!R15+'Other Contract Grnts-4Yr'!R15+'Investment Income-4Yr'!R15+'All Other E&amp;G-4Yr'!R15</f>
        <v>1197805.2609999999</v>
      </c>
      <c r="S15" s="58">
        <f>+'Tuition-4Yr'!S15+'State Appropriations-4Yr'!S15+'Local Appropriations-4Yr'!S15+'Fed Contracts Grnts-4Yr'!S15+'Other Contract Grnts-4Yr'!S15+'Investment Income-4Yr'!S15+'All Other E&amp;G-4Yr'!S15</f>
        <v>1262639.388</v>
      </c>
      <c r="T15" s="58">
        <f>+'Tuition-4Yr'!T15+'State Appropriations-4Yr'!T15+'Local Appropriations-4Yr'!T15+'Fed Contracts Grnts-4Yr'!T15+'Other Contract Grnts-4Yr'!T15+'Investment Income-4Yr'!T15+'All Other E&amp;G-4Yr'!T15</f>
        <v>1420608.8979999998</v>
      </c>
      <c r="U15" s="58">
        <f>+'Tuition-4Yr'!U15+'State Appropriations-4Yr'!U15+'Local Appropriations-4Yr'!U15+'Fed Contracts Grnts-4Yr'!U15+'Other Contract Grnts-4Yr'!U15+'Investment Income-4Yr'!U15+'All Other E&amp;G-4Yr'!U15</f>
        <v>1418025.824</v>
      </c>
      <c r="V15" s="58">
        <f>+'Tuition-4Yr'!V15+'State Appropriations-4Yr'!V15+'Local Appropriations-4Yr'!V15+'Fed Contracts Grnts-4Yr'!V15+'Other Contract Grnts-4Yr'!V15+'Investment Income-4Yr'!V15+'All Other E&amp;G-4Yr'!V15</f>
        <v>1473137.9350000001</v>
      </c>
      <c r="W15" s="58">
        <f>+'Tuition-4Yr'!W15+'State Appropriations-4Yr'!W15+'Local Appropriations-4Yr'!W15+'Fed Contracts Grnts-4Yr'!W15+'Other Contract Grnts-4Yr'!W15+'Investment Income-4Yr'!W15+'All Other E&amp;G-4Yr'!W15</f>
        <v>1631897.6639999999</v>
      </c>
      <c r="X15" s="58">
        <f>+'Tuition-4Yr'!X15+'State Appropriations-4Yr'!X15+'Local Appropriations-4Yr'!X15+'Fed Contracts Grnts-4Yr'!X15+'Other Contract Grnts-4Yr'!X15+'Investment Income-4Yr'!X15+'All Other E&amp;G-4Yr'!X15</f>
        <v>1593423.781</v>
      </c>
      <c r="Y15" s="58">
        <f>+'Tuition-4Yr'!Y15+'State Appropriations-4Yr'!Y15+'Local Appropriations-4Yr'!Y15+'Fed Contracts Grnts-4Yr'!Y15+'Other Contract Grnts-4Yr'!Y15+'Investment Income-4Yr'!Y15+'All Other E&amp;G-4Yr'!Y15</f>
        <v>1787955.8219999999</v>
      </c>
      <c r="Z15" s="58">
        <f>+'Tuition-4Yr'!Z15+'State Appropriations-4Yr'!Z15+'Local Appropriations-4Yr'!Z15+'Fed Contracts Grnts-4Yr'!Z15+'Other Contract Grnts-4Yr'!Z15+'Investment Income-4Yr'!Z15+'All Other E&amp;G-4Yr'!Z15</f>
        <v>1841643.7779999999</v>
      </c>
      <c r="AA15" s="58">
        <f>+'Tuition-4Yr'!AA15+'State Appropriations-4Yr'!AA15+'Local Appropriations-4Yr'!AA15+'Fed Contracts Grnts-4Yr'!AA15+'Other Contract Grnts-4Yr'!AA15+'Investment Income-4Yr'!AA15+'All Other E&amp;G-4Yr'!AA15</f>
        <v>1595652.2589999998</v>
      </c>
      <c r="AB15" s="58">
        <f>+'Tuition-4Yr'!AB15+'State Appropriations-4Yr'!AB15+'Local Appropriations-4Yr'!AB15+'Fed Contracts Grnts-4Yr'!AB15+'Other Contract Grnts-4Yr'!AB15+'Investment Income-4Yr'!AB15+'All Other E&amp;G-4Yr'!AB15</f>
        <v>1992244.3800000004</v>
      </c>
      <c r="AC15" s="58">
        <f>+'Tuition-4Yr'!AC15+'State Appropriations-4Yr'!AC15+'Local Appropriations-4Yr'!AC15+'Fed Contracts Grnts-4Yr'!AC15+'Other Contract Grnts-4Yr'!AC15+'Investment Income-4Yr'!AC15+'All Other E&amp;G-4Yr'!AC15</f>
        <v>2077197</v>
      </c>
      <c r="AD15" s="58">
        <f>+'Tuition-4Yr'!AD15+'State Appropriations-4Yr'!AD15+'Local Appropriations-4Yr'!AD15+'Fed Contracts Grnts-4Yr'!AD15+'Other Contract Grnts-4Yr'!AD15+'Investment Income-4Yr'!AD15+'All Other E&amp;G-4Yr'!AD15</f>
        <v>2140759.3159999996</v>
      </c>
      <c r="AE15" s="58">
        <f>+'Tuition-4Yr'!AE15+'State Appropriations-4Yr'!AE15+'Local Appropriations-4Yr'!AE15+'Fed Contracts Grnts-4Yr'!AE15+'Other Contract Grnts-4Yr'!AE15+'Investment Income-4Yr'!AE15+'All Other E&amp;G-4Yr'!AE15</f>
        <v>2110145.1380000003</v>
      </c>
      <c r="AF15" s="58">
        <f>+'Tuition-4Yr'!AF15+'State Appropriations-4Yr'!AF15+'Local Appropriations-4Yr'!AF15+'Fed Contracts Grnts-4Yr'!AF15+'Other Contract Grnts-4Yr'!AF15+'Investment Income-4Yr'!AF15+'All Other E&amp;G-4Yr'!AF15</f>
        <v>2148922.105</v>
      </c>
      <c r="AG15" s="58">
        <f>+'Tuition-4Yr'!AG15+'State Appropriations-4Yr'!AG15+'Local Appropriations-4Yr'!AG15+'Fed Contracts Grnts-4Yr'!AG15+'Other Contract Grnts-4Yr'!AG15+'Investment Income-4Yr'!AG15+'All Other E&amp;G-4Yr'!AG15</f>
        <v>2264837.3649999998</v>
      </c>
      <c r="AH15" s="58">
        <f>+'Tuition-4Yr'!AH15+'State Appropriations-4Yr'!AH15+'Local Appropriations-4Yr'!AH15+'Fed Contracts Grnts-4Yr'!AH15+'Other Contract Grnts-4Yr'!AH15+'Investment Income-4Yr'!AH15+'All Other E&amp;G-4Yr'!AH15</f>
        <v>2406487.3810000001</v>
      </c>
      <c r="AI15" s="58">
        <f>+'Tuition-4Yr'!AI15+'State Appropriations-4Yr'!AI15+'Local Appropriations-4Yr'!AI15+'Fed Contracts Grnts-4Yr'!AI15+'Other Contract Grnts-4Yr'!AI15+'Investment Income-4Yr'!AI15+'All Other E&amp;G-4Yr'!AI15</f>
        <v>2385718.2910000002</v>
      </c>
      <c r="AJ15" s="58">
        <f>+'Tuition-4Yr'!AJ15+'State Appropriations-4Yr'!AJ15+'Local Appropriations-4Yr'!AJ15+'Fed Contracts Grnts-4Yr'!AJ15+'Other Contract Grnts-4Yr'!AJ15+'Investment Income-4Yr'!AJ15+'All Other E&amp;G-4Yr'!AJ15</f>
        <v>0</v>
      </c>
      <c r="AK15" s="58">
        <f>+'Tuition-4Yr'!AK15+'State Appropriations-4Yr'!AK15+'Local Appropriations-4Yr'!AK15+'Fed Contracts Grnts-4Yr'!AK15+'Other Contract Grnts-4Yr'!AK15+'Investment Income-4Yr'!AK15+'All Other E&amp;G-4Yr'!AK15</f>
        <v>2685922.9369999999</v>
      </c>
    </row>
    <row r="16" spans="1:37" ht="12.75" customHeight="1">
      <c r="A16" s="1" t="s">
        <v>30</v>
      </c>
      <c r="B16" s="58">
        <f>+'Tuition-4Yr'!B16+'State Appropriations-4Yr'!B16+'Local Appropriations-4Yr'!B16+'Fed Contracts Grnts-4Yr'!B16+'Other Contract Grnts-4Yr'!B16+'Investment Income-4Yr'!B16+'All Other E&amp;G-4Yr'!B16</f>
        <v>1023932</v>
      </c>
      <c r="C16" s="58">
        <f>+'Tuition-4Yr'!C16+'State Appropriations-4Yr'!C16+'Local Appropriations-4Yr'!C16+'Fed Contracts Grnts-4Yr'!C16+'Other Contract Grnts-4Yr'!C16+'Investment Income-4Yr'!C16+'All Other E&amp;G-4Yr'!C16</f>
        <v>1159166</v>
      </c>
      <c r="D16" s="58">
        <f>+'Tuition-4Yr'!D16+'State Appropriations-4Yr'!D16+'Local Appropriations-4Yr'!D16+'Fed Contracts Grnts-4Yr'!D16+'Other Contract Grnts-4Yr'!D16+'Investment Income-4Yr'!D16+'All Other E&amp;G-4Yr'!D16</f>
        <v>1291115</v>
      </c>
      <c r="E16" s="58">
        <f>+'Tuition-4Yr'!E16+'State Appropriations-4Yr'!E16+'Local Appropriations-4Yr'!E16+'Fed Contracts Grnts-4Yr'!E16+'Other Contract Grnts-4Yr'!E16+'Investment Income-4Yr'!E16+'All Other E&amp;G-4Yr'!E16</f>
        <v>0</v>
      </c>
      <c r="F16" s="58">
        <f>+'Tuition-4Yr'!F16+'State Appropriations-4Yr'!F16+'Local Appropriations-4Yr'!F16+'Fed Contracts Grnts-4Yr'!F16+'Other Contract Grnts-4Yr'!F16+'Investment Income-4Yr'!F16+'All Other E&amp;G-4Yr'!F16</f>
        <v>0</v>
      </c>
      <c r="G16" s="58">
        <f>+'Tuition-4Yr'!G16+'State Appropriations-4Yr'!G16+'Local Appropriations-4Yr'!G16+'Fed Contracts Grnts-4Yr'!G16+'Other Contract Grnts-4Yr'!G16+'Investment Income-4Yr'!G16+'All Other E&amp;G-4Yr'!G16</f>
        <v>0</v>
      </c>
      <c r="H16" s="58">
        <f>+'Tuition-4Yr'!H16+'State Appropriations-4Yr'!H16+'Local Appropriations-4Yr'!H16+'Fed Contracts Grnts-4Yr'!H16+'Other Contract Grnts-4Yr'!H16+'Investment Income-4Yr'!H16+'All Other E&amp;G-4Yr'!H16</f>
        <v>0</v>
      </c>
      <c r="I16" s="58">
        <f>+'Tuition-4Yr'!I16+'State Appropriations-4Yr'!I16+'Local Appropriations-4Yr'!I16+'Fed Contracts Grnts-4Yr'!I16+'Other Contract Grnts-4Yr'!I16+'Investment Income-4Yr'!I16+'All Other E&amp;G-4Yr'!I16</f>
        <v>1812457.5729999999</v>
      </c>
      <c r="J16" s="58">
        <f>+'Tuition-4Yr'!J16+'State Appropriations-4Yr'!J16+'Local Appropriations-4Yr'!J16+'Fed Contracts Grnts-4Yr'!J16+'Other Contract Grnts-4Yr'!J16+'Investment Income-4Yr'!J16+'All Other E&amp;G-4Yr'!J16</f>
        <v>1925189.9579999999</v>
      </c>
      <c r="K16" s="58">
        <f>+'Tuition-4Yr'!K16+'State Appropriations-4Yr'!K16+'Local Appropriations-4Yr'!K16+'Fed Contracts Grnts-4Yr'!K16+'Other Contract Grnts-4Yr'!K16+'Investment Income-4Yr'!K16+'All Other E&amp;G-4Yr'!K16</f>
        <v>2171675.2009999999</v>
      </c>
      <c r="L16" s="58">
        <f>+'Tuition-4Yr'!L16+'State Appropriations-4Yr'!L16+'Local Appropriations-4Yr'!L16+'Fed Contracts Grnts-4Yr'!L16+'Other Contract Grnts-4Yr'!L16+'Investment Income-4Yr'!L16+'All Other E&amp;G-4Yr'!L16</f>
        <v>2193552.3769999999</v>
      </c>
      <c r="M16" s="58">
        <f>+'Tuition-4Yr'!M16+'State Appropriations-4Yr'!M16+'Local Appropriations-4Yr'!M16+'Fed Contracts Grnts-4Yr'!M16+'Other Contract Grnts-4Yr'!M16+'Investment Income-4Yr'!M16+'All Other E&amp;G-4Yr'!M16</f>
        <v>2236307.33</v>
      </c>
      <c r="N16" s="58">
        <f>+'Tuition-4Yr'!N16+'State Appropriations-4Yr'!N16+'Local Appropriations-4Yr'!N16+'Fed Contracts Grnts-4Yr'!N16+'Other Contract Grnts-4Yr'!N16+'Investment Income-4Yr'!N16+'All Other E&amp;G-4Yr'!N16</f>
        <v>2349895.7339999997</v>
      </c>
      <c r="O16" s="58">
        <f>+'Tuition-4Yr'!O16+'State Appropriations-4Yr'!O16+'Local Appropriations-4Yr'!O16+'Fed Contracts Grnts-4Yr'!O16+'Other Contract Grnts-4Yr'!O16+'Investment Income-4Yr'!O16+'All Other E&amp;G-4Yr'!O16</f>
        <v>2537413.1320000002</v>
      </c>
      <c r="P16" s="58">
        <f>+'Tuition-4Yr'!P16+'State Appropriations-4Yr'!P16+'Local Appropriations-4Yr'!P16+'Fed Contracts Grnts-4Yr'!P16+'Other Contract Grnts-4Yr'!P16+'Investment Income-4Yr'!P16+'All Other E&amp;G-4Yr'!P16</f>
        <v>0</v>
      </c>
      <c r="Q16" s="58">
        <f>+'Tuition-4Yr'!Q16+'State Appropriations-4Yr'!Q16+'Local Appropriations-4Yr'!Q16+'Fed Contracts Grnts-4Yr'!Q16+'Other Contract Grnts-4Yr'!Q16+'Investment Income-4Yr'!Q16+'All Other E&amp;G-4Yr'!Q16</f>
        <v>0</v>
      </c>
      <c r="R16" s="58">
        <f>+'Tuition-4Yr'!R16+'State Appropriations-4Yr'!R16+'Local Appropriations-4Yr'!R16+'Fed Contracts Grnts-4Yr'!R16+'Other Contract Grnts-4Yr'!R16+'Investment Income-4Yr'!R16+'All Other E&amp;G-4Yr'!R16</f>
        <v>2981320.8029999998</v>
      </c>
      <c r="S16" s="58">
        <f>+'Tuition-4Yr'!S16+'State Appropriations-4Yr'!S16+'Local Appropriations-4Yr'!S16+'Fed Contracts Grnts-4Yr'!S16+'Other Contract Grnts-4Yr'!S16+'Investment Income-4Yr'!S16+'All Other E&amp;G-4Yr'!S16</f>
        <v>3255717.4449999998</v>
      </c>
      <c r="T16" s="58">
        <f>+'Tuition-4Yr'!T16+'State Appropriations-4Yr'!T16+'Local Appropriations-4Yr'!T16+'Fed Contracts Grnts-4Yr'!T16+'Other Contract Grnts-4Yr'!T16+'Investment Income-4Yr'!T16+'All Other E&amp;G-4Yr'!T16</f>
        <v>3204331.2439999995</v>
      </c>
      <c r="U16" s="58">
        <f>+'Tuition-4Yr'!U16+'State Appropriations-4Yr'!U16+'Local Appropriations-4Yr'!U16+'Fed Contracts Grnts-4Yr'!U16+'Other Contract Grnts-4Yr'!U16+'Investment Income-4Yr'!U16+'All Other E&amp;G-4Yr'!U16</f>
        <v>3368001.1289999997</v>
      </c>
      <c r="V16" s="58">
        <f>+'Tuition-4Yr'!V16+'State Appropriations-4Yr'!V16+'Local Appropriations-4Yr'!V16+'Fed Contracts Grnts-4Yr'!V16+'Other Contract Grnts-4Yr'!V16+'Investment Income-4Yr'!V16+'All Other E&amp;G-4Yr'!V16</f>
        <v>3769084.0619999999</v>
      </c>
      <c r="W16" s="58">
        <f>+'Tuition-4Yr'!W16+'State Appropriations-4Yr'!W16+'Local Appropriations-4Yr'!W16+'Fed Contracts Grnts-4Yr'!W16+'Other Contract Grnts-4Yr'!W16+'Investment Income-4Yr'!W16+'All Other E&amp;G-4Yr'!W16</f>
        <v>4249344.5240000002</v>
      </c>
      <c r="X16" s="58">
        <f>+'Tuition-4Yr'!X16+'State Appropriations-4Yr'!X16+'Local Appropriations-4Yr'!X16+'Fed Contracts Grnts-4Yr'!X16+'Other Contract Grnts-4Yr'!X16+'Investment Income-4Yr'!X16+'All Other E&amp;G-4Yr'!X16</f>
        <v>4481190.3429999994</v>
      </c>
      <c r="Y16" s="58">
        <f>+'Tuition-4Yr'!Y16+'State Appropriations-4Yr'!Y16+'Local Appropriations-4Yr'!Y16+'Fed Contracts Grnts-4Yr'!Y16+'Other Contract Grnts-4Yr'!Y16+'Investment Income-4Yr'!Y16+'All Other E&amp;G-4Yr'!Y16</f>
        <v>5078407.8880000012</v>
      </c>
      <c r="Z16" s="58">
        <f>+'Tuition-4Yr'!Z16+'State Appropriations-4Yr'!Z16+'Local Appropriations-4Yr'!Z16+'Fed Contracts Grnts-4Yr'!Z16+'Other Contract Grnts-4Yr'!Z16+'Investment Income-4Yr'!Z16+'All Other E&amp;G-4Yr'!Z16</f>
        <v>5291130.3190000001</v>
      </c>
      <c r="AA16" s="58">
        <f>+'Tuition-4Yr'!AA16+'State Appropriations-4Yr'!AA16+'Local Appropriations-4Yr'!AA16+'Fed Contracts Grnts-4Yr'!AA16+'Other Contract Grnts-4Yr'!AA16+'Investment Income-4Yr'!AA16+'All Other E&amp;G-4Yr'!AA16</f>
        <v>4929332.4979999997</v>
      </c>
      <c r="AB16" s="58">
        <f>+'Tuition-4Yr'!AB16+'State Appropriations-4Yr'!AB16+'Local Appropriations-4Yr'!AB16+'Fed Contracts Grnts-4Yr'!AB16+'Other Contract Grnts-4Yr'!AB16+'Investment Income-4Yr'!AB16+'All Other E&amp;G-4Yr'!AB16</f>
        <v>6034126.8250000002</v>
      </c>
      <c r="AC16" s="58">
        <f>+'Tuition-4Yr'!AC16+'State Appropriations-4Yr'!AC16+'Local Appropriations-4Yr'!AC16+'Fed Contracts Grnts-4Yr'!AC16+'Other Contract Grnts-4Yr'!AC16+'Investment Income-4Yr'!AC16+'All Other E&amp;G-4Yr'!AC16</f>
        <v>6675800</v>
      </c>
      <c r="AD16" s="58">
        <f>+'Tuition-4Yr'!AD16+'State Appropriations-4Yr'!AD16+'Local Appropriations-4Yr'!AD16+'Fed Contracts Grnts-4Yr'!AD16+'Other Contract Grnts-4Yr'!AD16+'Investment Income-4Yr'!AD16+'All Other E&amp;G-4Yr'!AD16</f>
        <v>6287103.7719999999</v>
      </c>
      <c r="AE16" s="58">
        <f>+'Tuition-4Yr'!AE16+'State Appropriations-4Yr'!AE16+'Local Appropriations-4Yr'!AE16+'Fed Contracts Grnts-4Yr'!AE16+'Other Contract Grnts-4Yr'!AE16+'Investment Income-4Yr'!AE16+'All Other E&amp;G-4Yr'!AE16</f>
        <v>6748752.4030000009</v>
      </c>
      <c r="AF16" s="58">
        <f>+'Tuition-4Yr'!AF16+'State Appropriations-4Yr'!AF16+'Local Appropriations-4Yr'!AF16+'Fed Contracts Grnts-4Yr'!AF16+'Other Contract Grnts-4Yr'!AF16+'Investment Income-4Yr'!AF16+'All Other E&amp;G-4Yr'!AF16</f>
        <v>6780056.3439999996</v>
      </c>
      <c r="AG16" s="58">
        <f>+'Tuition-4Yr'!AG16+'State Appropriations-4Yr'!AG16+'Local Appropriations-4Yr'!AG16+'Fed Contracts Grnts-4Yr'!AG16+'Other Contract Grnts-4Yr'!AG16+'Investment Income-4Yr'!AG16+'All Other E&amp;G-4Yr'!AG16</f>
        <v>7057194.9479999999</v>
      </c>
      <c r="AH16" s="58">
        <f>+'Tuition-4Yr'!AH16+'State Appropriations-4Yr'!AH16+'Local Appropriations-4Yr'!AH16+'Fed Contracts Grnts-4Yr'!AH16+'Other Contract Grnts-4Yr'!AH16+'Investment Income-4Yr'!AH16+'All Other E&amp;G-4Yr'!AH16</f>
        <v>6916161.5750000011</v>
      </c>
      <c r="AI16" s="58">
        <f>+'Tuition-4Yr'!AI16+'State Appropriations-4Yr'!AI16+'Local Appropriations-4Yr'!AI16+'Fed Contracts Grnts-4Yr'!AI16+'Other Contract Grnts-4Yr'!AI16+'Investment Income-4Yr'!AI16+'All Other E&amp;G-4Yr'!AI16</f>
        <v>7651175.1460000006</v>
      </c>
      <c r="AJ16" s="58">
        <f>+'Tuition-4Yr'!AJ16+'State Appropriations-4Yr'!AJ16+'Local Appropriations-4Yr'!AJ16+'Fed Contracts Grnts-4Yr'!AJ16+'Other Contract Grnts-4Yr'!AJ16+'Investment Income-4Yr'!AJ16+'All Other E&amp;G-4Yr'!AJ16</f>
        <v>0</v>
      </c>
      <c r="AK16" s="58">
        <f>+'Tuition-4Yr'!AK16+'State Appropriations-4Yr'!AK16+'Local Appropriations-4Yr'!AK16+'Fed Contracts Grnts-4Yr'!AK16+'Other Contract Grnts-4Yr'!AK16+'Investment Income-4Yr'!AK16+'All Other E&amp;G-4Yr'!AK16</f>
        <v>8843367.4790000003</v>
      </c>
    </row>
    <row r="17" spans="1:37" ht="12.75" customHeight="1">
      <c r="A17" s="1" t="s">
        <v>31</v>
      </c>
      <c r="B17" s="58">
        <f>+'Tuition-4Yr'!B17+'State Appropriations-4Yr'!B17+'Local Appropriations-4Yr'!B17+'Fed Contracts Grnts-4Yr'!B17+'Other Contract Grnts-4Yr'!B17+'Investment Income-4Yr'!B17+'All Other E&amp;G-4Yr'!B17</f>
        <v>443316</v>
      </c>
      <c r="C17" s="58">
        <f>+'Tuition-4Yr'!C17+'State Appropriations-4Yr'!C17+'Local Appropriations-4Yr'!C17+'Fed Contracts Grnts-4Yr'!C17+'Other Contract Grnts-4Yr'!C17+'Investment Income-4Yr'!C17+'All Other E&amp;G-4Yr'!C17</f>
        <v>454257</v>
      </c>
      <c r="D17" s="58">
        <f>+'Tuition-4Yr'!D17+'State Appropriations-4Yr'!D17+'Local Appropriations-4Yr'!D17+'Fed Contracts Grnts-4Yr'!D17+'Other Contract Grnts-4Yr'!D17+'Investment Income-4Yr'!D17+'All Other E&amp;G-4Yr'!D17</f>
        <v>526177</v>
      </c>
      <c r="E17" s="58">
        <f>+'Tuition-4Yr'!E17+'State Appropriations-4Yr'!E17+'Local Appropriations-4Yr'!E17+'Fed Contracts Grnts-4Yr'!E17+'Other Contract Grnts-4Yr'!E17+'Investment Income-4Yr'!E17+'All Other E&amp;G-4Yr'!E17</f>
        <v>0</v>
      </c>
      <c r="F17" s="58">
        <f>+'Tuition-4Yr'!F17+'State Appropriations-4Yr'!F17+'Local Appropriations-4Yr'!F17+'Fed Contracts Grnts-4Yr'!F17+'Other Contract Grnts-4Yr'!F17+'Investment Income-4Yr'!F17+'All Other E&amp;G-4Yr'!F17</f>
        <v>0</v>
      </c>
      <c r="G17" s="58">
        <f>+'Tuition-4Yr'!G17+'State Appropriations-4Yr'!G17+'Local Appropriations-4Yr'!G17+'Fed Contracts Grnts-4Yr'!G17+'Other Contract Grnts-4Yr'!G17+'Investment Income-4Yr'!G17+'All Other E&amp;G-4Yr'!G17</f>
        <v>0</v>
      </c>
      <c r="H17" s="58">
        <f>+'Tuition-4Yr'!H17+'State Appropriations-4Yr'!H17+'Local Appropriations-4Yr'!H17+'Fed Contracts Grnts-4Yr'!H17+'Other Contract Grnts-4Yr'!H17+'Investment Income-4Yr'!H17+'All Other E&amp;G-4Yr'!H17</f>
        <v>0</v>
      </c>
      <c r="I17" s="58">
        <f>+'Tuition-4Yr'!I17+'State Appropriations-4Yr'!I17+'Local Appropriations-4Yr'!I17+'Fed Contracts Grnts-4Yr'!I17+'Other Contract Grnts-4Yr'!I17+'Investment Income-4Yr'!I17+'All Other E&amp;G-4Yr'!I17</f>
        <v>785474.71499999997</v>
      </c>
      <c r="J17" s="58">
        <f>+'Tuition-4Yr'!J17+'State Appropriations-4Yr'!J17+'Local Appropriations-4Yr'!J17+'Fed Contracts Grnts-4Yr'!J17+'Other Contract Grnts-4Yr'!J17+'Investment Income-4Yr'!J17+'All Other E&amp;G-4Yr'!J17</f>
        <v>874153.60000000009</v>
      </c>
      <c r="K17" s="58">
        <f>+'Tuition-4Yr'!K17+'State Appropriations-4Yr'!K17+'Local Appropriations-4Yr'!K17+'Fed Contracts Grnts-4Yr'!K17+'Other Contract Grnts-4Yr'!K17+'Investment Income-4Yr'!K17+'All Other E&amp;G-4Yr'!K17</f>
        <v>894955.99200000009</v>
      </c>
      <c r="L17" s="58">
        <f>+'Tuition-4Yr'!L17+'State Appropriations-4Yr'!L17+'Local Appropriations-4Yr'!L17+'Fed Contracts Grnts-4Yr'!L17+'Other Contract Grnts-4Yr'!L17+'Investment Income-4Yr'!L17+'All Other E&amp;G-4Yr'!L17</f>
        <v>925398.92700000003</v>
      </c>
      <c r="M17" s="58">
        <f>+'Tuition-4Yr'!M17+'State Appropriations-4Yr'!M17+'Local Appropriations-4Yr'!M17+'Fed Contracts Grnts-4Yr'!M17+'Other Contract Grnts-4Yr'!M17+'Investment Income-4Yr'!M17+'All Other E&amp;G-4Yr'!M17</f>
        <v>894437.09800000011</v>
      </c>
      <c r="N17" s="58">
        <f>+'Tuition-4Yr'!N17+'State Appropriations-4Yr'!N17+'Local Appropriations-4Yr'!N17+'Fed Contracts Grnts-4Yr'!N17+'Other Contract Grnts-4Yr'!N17+'Investment Income-4Yr'!N17+'All Other E&amp;G-4Yr'!N17</f>
        <v>1018370.689</v>
      </c>
      <c r="O17" s="58">
        <f>+'Tuition-4Yr'!O17+'State Appropriations-4Yr'!O17+'Local Appropriations-4Yr'!O17+'Fed Contracts Grnts-4Yr'!O17+'Other Contract Grnts-4Yr'!O17+'Investment Income-4Yr'!O17+'All Other E&amp;G-4Yr'!O17</f>
        <v>1103395.9932300001</v>
      </c>
      <c r="P17" s="58">
        <f>+'Tuition-4Yr'!P17+'State Appropriations-4Yr'!P17+'Local Appropriations-4Yr'!P17+'Fed Contracts Grnts-4Yr'!P17+'Other Contract Grnts-4Yr'!P17+'Investment Income-4Yr'!P17+'All Other E&amp;G-4Yr'!P17</f>
        <v>0</v>
      </c>
      <c r="Q17" s="58">
        <f>+'Tuition-4Yr'!Q17+'State Appropriations-4Yr'!Q17+'Local Appropriations-4Yr'!Q17+'Fed Contracts Grnts-4Yr'!Q17+'Other Contract Grnts-4Yr'!Q17+'Investment Income-4Yr'!Q17+'All Other E&amp;G-4Yr'!Q17</f>
        <v>0</v>
      </c>
      <c r="R17" s="58">
        <f>+'Tuition-4Yr'!R17+'State Appropriations-4Yr'!R17+'Local Appropriations-4Yr'!R17+'Fed Contracts Grnts-4Yr'!R17+'Other Contract Grnts-4Yr'!R17+'Investment Income-4Yr'!R17+'All Other E&amp;G-4Yr'!R17</f>
        <v>1493121.6290000002</v>
      </c>
      <c r="S17" s="58">
        <f>+'Tuition-4Yr'!S17+'State Appropriations-4Yr'!S17+'Local Appropriations-4Yr'!S17+'Fed Contracts Grnts-4Yr'!S17+'Other Contract Grnts-4Yr'!S17+'Investment Income-4Yr'!S17+'All Other E&amp;G-4Yr'!S17</f>
        <v>1351505.8129999998</v>
      </c>
      <c r="T17" s="58">
        <f>+'Tuition-4Yr'!T17+'State Appropriations-4Yr'!T17+'Local Appropriations-4Yr'!T17+'Fed Contracts Grnts-4Yr'!T17+'Other Contract Grnts-4Yr'!T17+'Investment Income-4Yr'!T17+'All Other E&amp;G-4Yr'!T17</f>
        <v>1497111.345</v>
      </c>
      <c r="U17" s="58">
        <f>+'Tuition-4Yr'!U17+'State Appropriations-4Yr'!U17+'Local Appropriations-4Yr'!U17+'Fed Contracts Grnts-4Yr'!U17+'Other Contract Grnts-4Yr'!U17+'Investment Income-4Yr'!U17+'All Other E&amp;G-4Yr'!U17</f>
        <v>1512325.426</v>
      </c>
      <c r="V17" s="58">
        <f>+'Tuition-4Yr'!V17+'State Appropriations-4Yr'!V17+'Local Appropriations-4Yr'!V17+'Fed Contracts Grnts-4Yr'!V17+'Other Contract Grnts-4Yr'!V17+'Investment Income-4Yr'!V17+'All Other E&amp;G-4Yr'!V17</f>
        <v>1668289.777</v>
      </c>
      <c r="W17" s="58">
        <f>+'Tuition-4Yr'!W17+'State Appropriations-4Yr'!W17+'Local Appropriations-4Yr'!W17+'Fed Contracts Grnts-4Yr'!W17+'Other Contract Grnts-4Yr'!W17+'Investment Income-4Yr'!W17+'All Other E&amp;G-4Yr'!W17</f>
        <v>1850708.7169999999</v>
      </c>
      <c r="X17" s="58">
        <f>+'Tuition-4Yr'!X17+'State Appropriations-4Yr'!X17+'Local Appropriations-4Yr'!X17+'Fed Contracts Grnts-4Yr'!X17+'Other Contract Grnts-4Yr'!X17+'Investment Income-4Yr'!X17+'All Other E&amp;G-4Yr'!X17</f>
        <v>1919796.0749999997</v>
      </c>
      <c r="Y17" s="58">
        <f>+'Tuition-4Yr'!Y17+'State Appropriations-4Yr'!Y17+'Local Appropriations-4Yr'!Y17+'Fed Contracts Grnts-4Yr'!Y17+'Other Contract Grnts-4Yr'!Y17+'Investment Income-4Yr'!Y17+'All Other E&amp;G-4Yr'!Y17</f>
        <v>2151526.1940000001</v>
      </c>
      <c r="Z17" s="58">
        <f>+'Tuition-4Yr'!Z17+'State Appropriations-4Yr'!Z17+'Local Appropriations-4Yr'!Z17+'Fed Contracts Grnts-4Yr'!Z17+'Other Contract Grnts-4Yr'!Z17+'Investment Income-4Yr'!Z17+'All Other E&amp;G-4Yr'!Z17</f>
        <v>2259281.298</v>
      </c>
      <c r="AA17" s="58">
        <f>+'Tuition-4Yr'!AA17+'State Appropriations-4Yr'!AA17+'Local Appropriations-4Yr'!AA17+'Fed Contracts Grnts-4Yr'!AA17+'Other Contract Grnts-4Yr'!AA17+'Investment Income-4Yr'!AA17+'All Other E&amp;G-4Yr'!AA17</f>
        <v>1864701.0150000001</v>
      </c>
      <c r="AB17" s="58">
        <f>+'Tuition-4Yr'!AB17+'State Appropriations-4Yr'!AB17+'Local Appropriations-4Yr'!AB17+'Fed Contracts Grnts-4Yr'!AB17+'Other Contract Grnts-4Yr'!AB17+'Investment Income-4Yr'!AB17+'All Other E&amp;G-4Yr'!AB17</f>
        <v>2537614.3539999998</v>
      </c>
      <c r="AC17" s="58">
        <f>+'Tuition-4Yr'!AC17+'State Appropriations-4Yr'!AC17+'Local Appropriations-4Yr'!AC17+'Fed Contracts Grnts-4Yr'!AC17+'Other Contract Grnts-4Yr'!AC17+'Investment Income-4Yr'!AC17+'All Other E&amp;G-4Yr'!AC17</f>
        <v>2667596</v>
      </c>
      <c r="AD17" s="58">
        <f>+'Tuition-4Yr'!AD17+'State Appropriations-4Yr'!AD17+'Local Appropriations-4Yr'!AD17+'Fed Contracts Grnts-4Yr'!AD17+'Other Contract Grnts-4Yr'!AD17+'Investment Income-4Yr'!AD17+'All Other E&amp;G-4Yr'!AD17</f>
        <v>2692157.4139999999</v>
      </c>
      <c r="AE17" s="58">
        <f>+'Tuition-4Yr'!AE17+'State Appropriations-4Yr'!AE17+'Local Appropriations-4Yr'!AE17+'Fed Contracts Grnts-4Yr'!AE17+'Other Contract Grnts-4Yr'!AE17+'Investment Income-4Yr'!AE17+'All Other E&amp;G-4Yr'!AE17</f>
        <v>2790372.0860000001</v>
      </c>
      <c r="AF17" s="58">
        <f>+'Tuition-4Yr'!AF17+'State Appropriations-4Yr'!AF17+'Local Appropriations-4Yr'!AF17+'Fed Contracts Grnts-4Yr'!AF17+'Other Contract Grnts-4Yr'!AF17+'Investment Income-4Yr'!AF17+'All Other E&amp;G-4Yr'!AF17</f>
        <v>2818860.1509999991</v>
      </c>
      <c r="AG17" s="58">
        <f>+'Tuition-4Yr'!AG17+'State Appropriations-4Yr'!AG17+'Local Appropriations-4Yr'!AG17+'Fed Contracts Grnts-4Yr'!AG17+'Other Contract Grnts-4Yr'!AG17+'Investment Income-4Yr'!AG17+'All Other E&amp;G-4Yr'!AG17</f>
        <v>2957409.1040000003</v>
      </c>
      <c r="AH17" s="58">
        <f>+'Tuition-4Yr'!AH17+'State Appropriations-4Yr'!AH17+'Local Appropriations-4Yr'!AH17+'Fed Contracts Grnts-4Yr'!AH17+'Other Contract Grnts-4Yr'!AH17+'Investment Income-4Yr'!AH17+'All Other E&amp;G-4Yr'!AH17</f>
        <v>2935046.8479999998</v>
      </c>
      <c r="AI17" s="58">
        <f>+'Tuition-4Yr'!AI17+'State Appropriations-4Yr'!AI17+'Local Appropriations-4Yr'!AI17+'Fed Contracts Grnts-4Yr'!AI17+'Other Contract Grnts-4Yr'!AI17+'Investment Income-4Yr'!AI17+'All Other E&amp;G-4Yr'!AI17</f>
        <v>3034344.6680000005</v>
      </c>
      <c r="AJ17" s="58">
        <f>+'Tuition-4Yr'!AJ17+'State Appropriations-4Yr'!AJ17+'Local Appropriations-4Yr'!AJ17+'Fed Contracts Grnts-4Yr'!AJ17+'Other Contract Grnts-4Yr'!AJ17+'Investment Income-4Yr'!AJ17+'All Other E&amp;G-4Yr'!AJ17</f>
        <v>0</v>
      </c>
      <c r="AK17" s="58">
        <f>+'Tuition-4Yr'!AK17+'State Appropriations-4Yr'!AK17+'Local Appropriations-4Yr'!AK17+'Fed Contracts Grnts-4Yr'!AK17+'Other Contract Grnts-4Yr'!AK17+'Investment Income-4Yr'!AK17+'All Other E&amp;G-4Yr'!AK17</f>
        <v>3394929.81</v>
      </c>
    </row>
    <row r="18" spans="1:37" ht="12.75" customHeight="1">
      <c r="A18" s="1" t="s">
        <v>32</v>
      </c>
      <c r="B18" s="58">
        <f>+'Tuition-4Yr'!B18+'State Appropriations-4Yr'!B18+'Local Appropriations-4Yr'!B18+'Fed Contracts Grnts-4Yr'!B18+'Other Contract Grnts-4Yr'!B18+'Investment Income-4Yr'!B18+'All Other E&amp;G-4Yr'!B18</f>
        <v>496236</v>
      </c>
      <c r="C18" s="58">
        <f>+'Tuition-4Yr'!C18+'State Appropriations-4Yr'!C18+'Local Appropriations-4Yr'!C18+'Fed Contracts Grnts-4Yr'!C18+'Other Contract Grnts-4Yr'!C18+'Investment Income-4Yr'!C18+'All Other E&amp;G-4Yr'!C18</f>
        <v>576484</v>
      </c>
      <c r="D18" s="58">
        <f>+'Tuition-4Yr'!D18+'State Appropriations-4Yr'!D18+'Local Appropriations-4Yr'!D18+'Fed Contracts Grnts-4Yr'!D18+'Other Contract Grnts-4Yr'!D18+'Investment Income-4Yr'!D18+'All Other E&amp;G-4Yr'!D18</f>
        <v>634948</v>
      </c>
      <c r="E18" s="58">
        <f>+'Tuition-4Yr'!E18+'State Appropriations-4Yr'!E18+'Local Appropriations-4Yr'!E18+'Fed Contracts Grnts-4Yr'!E18+'Other Contract Grnts-4Yr'!E18+'Investment Income-4Yr'!E18+'All Other E&amp;G-4Yr'!E18</f>
        <v>0</v>
      </c>
      <c r="F18" s="58">
        <f>+'Tuition-4Yr'!F18+'State Appropriations-4Yr'!F18+'Local Appropriations-4Yr'!F18+'Fed Contracts Grnts-4Yr'!F18+'Other Contract Grnts-4Yr'!F18+'Investment Income-4Yr'!F18+'All Other E&amp;G-4Yr'!F18</f>
        <v>0</v>
      </c>
      <c r="G18" s="58">
        <f>+'Tuition-4Yr'!G18+'State Appropriations-4Yr'!G18+'Local Appropriations-4Yr'!G18+'Fed Contracts Grnts-4Yr'!G18+'Other Contract Grnts-4Yr'!G18+'Investment Income-4Yr'!G18+'All Other E&amp;G-4Yr'!G18</f>
        <v>0</v>
      </c>
      <c r="H18" s="58">
        <f>+'Tuition-4Yr'!H18+'State Appropriations-4Yr'!H18+'Local Appropriations-4Yr'!H18+'Fed Contracts Grnts-4Yr'!H18+'Other Contract Grnts-4Yr'!H18+'Investment Income-4Yr'!H18+'All Other E&amp;G-4Yr'!H18</f>
        <v>0</v>
      </c>
      <c r="I18" s="58">
        <f>+'Tuition-4Yr'!I18+'State Appropriations-4Yr'!I18+'Local Appropriations-4Yr'!I18+'Fed Contracts Grnts-4Yr'!I18+'Other Contract Grnts-4Yr'!I18+'Investment Income-4Yr'!I18+'All Other E&amp;G-4Yr'!I18</f>
        <v>902140.25799999991</v>
      </c>
      <c r="J18" s="58">
        <f>+'Tuition-4Yr'!J18+'State Appropriations-4Yr'!J18+'Local Appropriations-4Yr'!J18+'Fed Contracts Grnts-4Yr'!J18+'Other Contract Grnts-4Yr'!J18+'Investment Income-4Yr'!J18+'All Other E&amp;G-4Yr'!J18</f>
        <v>931729.777</v>
      </c>
      <c r="K18" s="58">
        <f>+'Tuition-4Yr'!K18+'State Appropriations-4Yr'!K18+'Local Appropriations-4Yr'!K18+'Fed Contracts Grnts-4Yr'!K18+'Other Contract Grnts-4Yr'!K18+'Investment Income-4Yr'!K18+'All Other E&amp;G-4Yr'!K18</f>
        <v>992286.31099999999</v>
      </c>
      <c r="L18" s="58">
        <f>+'Tuition-4Yr'!L18+'State Appropriations-4Yr'!L18+'Local Appropriations-4Yr'!L18+'Fed Contracts Grnts-4Yr'!L18+'Other Contract Grnts-4Yr'!L18+'Investment Income-4Yr'!L18+'All Other E&amp;G-4Yr'!L18</f>
        <v>1040584.297</v>
      </c>
      <c r="M18" s="58">
        <f>+'Tuition-4Yr'!M18+'State Appropriations-4Yr'!M18+'Local Appropriations-4Yr'!M18+'Fed Contracts Grnts-4Yr'!M18+'Other Contract Grnts-4Yr'!M18+'Investment Income-4Yr'!M18+'All Other E&amp;G-4Yr'!M18</f>
        <v>1098759.804</v>
      </c>
      <c r="N18" s="58">
        <f>+'Tuition-4Yr'!N18+'State Appropriations-4Yr'!N18+'Local Appropriations-4Yr'!N18+'Fed Contracts Grnts-4Yr'!N18+'Other Contract Grnts-4Yr'!N18+'Investment Income-4Yr'!N18+'All Other E&amp;G-4Yr'!N18</f>
        <v>1133599.5523000001</v>
      </c>
      <c r="O18" s="58">
        <f>+'Tuition-4Yr'!O18+'State Appropriations-4Yr'!O18+'Local Appropriations-4Yr'!O18+'Fed Contracts Grnts-4Yr'!O18+'Other Contract Grnts-4Yr'!O18+'Investment Income-4Yr'!O18+'All Other E&amp;G-4Yr'!O18</f>
        <v>1221293.426</v>
      </c>
      <c r="P18" s="58">
        <f>+'Tuition-4Yr'!P18+'State Appropriations-4Yr'!P18+'Local Appropriations-4Yr'!P18+'Fed Contracts Grnts-4Yr'!P18+'Other Contract Grnts-4Yr'!P18+'Investment Income-4Yr'!P18+'All Other E&amp;G-4Yr'!P18</f>
        <v>0</v>
      </c>
      <c r="Q18" s="58">
        <f>+'Tuition-4Yr'!Q18+'State Appropriations-4Yr'!Q18+'Local Appropriations-4Yr'!Q18+'Fed Contracts Grnts-4Yr'!Q18+'Other Contract Grnts-4Yr'!Q18+'Investment Income-4Yr'!Q18+'All Other E&amp;G-4Yr'!Q18</f>
        <v>0</v>
      </c>
      <c r="R18" s="58">
        <f>+'Tuition-4Yr'!R18+'State Appropriations-4Yr'!R18+'Local Appropriations-4Yr'!R18+'Fed Contracts Grnts-4Yr'!R18+'Other Contract Grnts-4Yr'!R18+'Investment Income-4Yr'!R18+'All Other E&amp;G-4Yr'!R18</f>
        <v>1466145.5420000004</v>
      </c>
      <c r="S18" s="58">
        <f>+'Tuition-4Yr'!S18+'State Appropriations-4Yr'!S18+'Local Appropriations-4Yr'!S18+'Fed Contracts Grnts-4Yr'!S18+'Other Contract Grnts-4Yr'!S18+'Investment Income-4Yr'!S18+'All Other E&amp;G-4Yr'!S18</f>
        <v>1651908.2179999999</v>
      </c>
      <c r="T18" s="58">
        <f>+'Tuition-4Yr'!T18+'State Appropriations-4Yr'!T18+'Local Appropriations-4Yr'!T18+'Fed Contracts Grnts-4Yr'!T18+'Other Contract Grnts-4Yr'!T18+'Investment Income-4Yr'!T18+'All Other E&amp;G-4Yr'!T18</f>
        <v>1770247.0889999997</v>
      </c>
      <c r="U18" s="58">
        <f>+'Tuition-4Yr'!U18+'State Appropriations-4Yr'!U18+'Local Appropriations-4Yr'!U18+'Fed Contracts Grnts-4Yr'!U18+'Other Contract Grnts-4Yr'!U18+'Investment Income-4Yr'!U18+'All Other E&amp;G-4Yr'!U18</f>
        <v>1797479.9920000001</v>
      </c>
      <c r="V18" s="58">
        <f>+'Tuition-4Yr'!V18+'State Appropriations-4Yr'!V18+'Local Appropriations-4Yr'!V18+'Fed Contracts Grnts-4Yr'!V18+'Other Contract Grnts-4Yr'!V18+'Investment Income-4Yr'!V18+'All Other E&amp;G-4Yr'!V18</f>
        <v>1883549.9699999997</v>
      </c>
      <c r="W18" s="58">
        <f>+'Tuition-4Yr'!W18+'State Appropriations-4Yr'!W18+'Local Appropriations-4Yr'!W18+'Fed Contracts Grnts-4Yr'!W18+'Other Contract Grnts-4Yr'!W18+'Investment Income-4Yr'!W18+'All Other E&amp;G-4Yr'!W18</f>
        <v>2185642.9389999998</v>
      </c>
      <c r="X18" s="58">
        <f>+'Tuition-4Yr'!X18+'State Appropriations-4Yr'!X18+'Local Appropriations-4Yr'!X18+'Fed Contracts Grnts-4Yr'!X18+'Other Contract Grnts-4Yr'!X18+'Investment Income-4Yr'!X18+'All Other E&amp;G-4Yr'!X18</f>
        <v>2165712.35</v>
      </c>
      <c r="Y18" s="58">
        <f>+'Tuition-4Yr'!Y18+'State Appropriations-4Yr'!Y18+'Local Appropriations-4Yr'!Y18+'Fed Contracts Grnts-4Yr'!Y18+'Other Contract Grnts-4Yr'!Y18+'Investment Income-4Yr'!Y18+'All Other E&amp;G-4Yr'!Y18</f>
        <v>2389336.145</v>
      </c>
      <c r="Z18" s="58">
        <f>+'Tuition-4Yr'!Z18+'State Appropriations-4Yr'!Z18+'Local Appropriations-4Yr'!Z18+'Fed Contracts Grnts-4Yr'!Z18+'Other Contract Grnts-4Yr'!Z18+'Investment Income-4Yr'!Z18+'All Other E&amp;G-4Yr'!Z18</f>
        <v>2510506.4709999994</v>
      </c>
      <c r="AA18" s="58">
        <f>+'Tuition-4Yr'!AA18+'State Appropriations-4Yr'!AA18+'Local Appropriations-4Yr'!AA18+'Fed Contracts Grnts-4Yr'!AA18+'Other Contract Grnts-4Yr'!AA18+'Investment Income-4Yr'!AA18+'All Other E&amp;G-4Yr'!AA18</f>
        <v>2235188.7179999999</v>
      </c>
      <c r="AB18" s="58">
        <f>+'Tuition-4Yr'!AB18+'State Appropriations-4Yr'!AB18+'Local Appropriations-4Yr'!AB18+'Fed Contracts Grnts-4Yr'!AB18+'Other Contract Grnts-4Yr'!AB18+'Investment Income-4Yr'!AB18+'All Other E&amp;G-4Yr'!AB18</f>
        <v>3020706.0440000002</v>
      </c>
      <c r="AC18" s="58">
        <f>+'Tuition-4Yr'!AC18+'State Appropriations-4Yr'!AC18+'Local Appropriations-4Yr'!AC18+'Fed Contracts Grnts-4Yr'!AC18+'Other Contract Grnts-4Yr'!AC18+'Investment Income-4Yr'!AC18+'All Other E&amp;G-4Yr'!AC18</f>
        <v>3144503</v>
      </c>
      <c r="AD18" s="58">
        <f>+'Tuition-4Yr'!AD18+'State Appropriations-4Yr'!AD18+'Local Appropriations-4Yr'!AD18+'Fed Contracts Grnts-4Yr'!AD18+'Other Contract Grnts-4Yr'!AD18+'Investment Income-4Yr'!AD18+'All Other E&amp;G-4Yr'!AD18</f>
        <v>3114595.6040000003</v>
      </c>
      <c r="AE18" s="58">
        <f>+'Tuition-4Yr'!AE18+'State Appropriations-4Yr'!AE18+'Local Appropriations-4Yr'!AE18+'Fed Contracts Grnts-4Yr'!AE18+'Other Contract Grnts-4Yr'!AE18+'Investment Income-4Yr'!AE18+'All Other E&amp;G-4Yr'!AE18</f>
        <v>3260519.6430000006</v>
      </c>
      <c r="AF18" s="58">
        <f>+'Tuition-4Yr'!AF18+'State Appropriations-4Yr'!AF18+'Local Appropriations-4Yr'!AF18+'Fed Contracts Grnts-4Yr'!AF18+'Other Contract Grnts-4Yr'!AF18+'Investment Income-4Yr'!AF18+'All Other E&amp;G-4Yr'!AF18</f>
        <v>3296151.7930000005</v>
      </c>
      <c r="AG18" s="58">
        <f>+'Tuition-4Yr'!AG18+'State Appropriations-4Yr'!AG18+'Local Appropriations-4Yr'!AG18+'Fed Contracts Grnts-4Yr'!AG18+'Other Contract Grnts-4Yr'!AG18+'Investment Income-4Yr'!AG18+'All Other E&amp;G-4Yr'!AG18</f>
        <v>3568696.4130000002</v>
      </c>
      <c r="AH18" s="58">
        <f>+'Tuition-4Yr'!AH18+'State Appropriations-4Yr'!AH18+'Local Appropriations-4Yr'!AH18+'Fed Contracts Grnts-4Yr'!AH18+'Other Contract Grnts-4Yr'!AH18+'Investment Income-4Yr'!AH18+'All Other E&amp;G-4Yr'!AH18</f>
        <v>3659335.4299999997</v>
      </c>
      <c r="AI18" s="58">
        <f>+'Tuition-4Yr'!AI18+'State Appropriations-4Yr'!AI18+'Local Appropriations-4Yr'!AI18+'Fed Contracts Grnts-4Yr'!AI18+'Other Contract Grnts-4Yr'!AI18+'Investment Income-4Yr'!AI18+'All Other E&amp;G-4Yr'!AI18</f>
        <v>3929374.3080000007</v>
      </c>
      <c r="AJ18" s="58">
        <f>+'Tuition-4Yr'!AJ18+'State Appropriations-4Yr'!AJ18+'Local Appropriations-4Yr'!AJ18+'Fed Contracts Grnts-4Yr'!AJ18+'Other Contract Grnts-4Yr'!AJ18+'Investment Income-4Yr'!AJ18+'All Other E&amp;G-4Yr'!AJ18</f>
        <v>0</v>
      </c>
      <c r="AK18" s="58">
        <f>+'Tuition-4Yr'!AK18+'State Appropriations-4Yr'!AK18+'Local Appropriations-4Yr'!AK18+'Fed Contracts Grnts-4Yr'!AK18+'Other Contract Grnts-4Yr'!AK18+'Investment Income-4Yr'!AK18+'All Other E&amp;G-4Yr'!AK18</f>
        <v>4568864.3569999998</v>
      </c>
    </row>
    <row r="19" spans="1:37" ht="12.75" customHeight="1">
      <c r="A19" s="1" t="s">
        <v>33</v>
      </c>
      <c r="B19" s="58">
        <f>+'Tuition-4Yr'!B19+'State Appropriations-4Yr'!B19+'Local Appropriations-4Yr'!B19+'Fed Contracts Grnts-4Yr'!B19+'Other Contract Grnts-4Yr'!B19+'Investment Income-4Yr'!B19+'All Other E&amp;G-4Yr'!B19</f>
        <v>558263</v>
      </c>
      <c r="C19" s="58">
        <f>+'Tuition-4Yr'!C19+'State Appropriations-4Yr'!C19+'Local Appropriations-4Yr'!C19+'Fed Contracts Grnts-4Yr'!C19+'Other Contract Grnts-4Yr'!C19+'Investment Income-4Yr'!C19+'All Other E&amp;G-4Yr'!C19</f>
        <v>645385</v>
      </c>
      <c r="D19" s="58">
        <f>+'Tuition-4Yr'!D19+'State Appropriations-4Yr'!D19+'Local Appropriations-4Yr'!D19+'Fed Contracts Grnts-4Yr'!D19+'Other Contract Grnts-4Yr'!D19+'Investment Income-4Yr'!D19+'All Other E&amp;G-4Yr'!D19</f>
        <v>747495</v>
      </c>
      <c r="E19" s="58">
        <f>+'Tuition-4Yr'!E19+'State Appropriations-4Yr'!E19+'Local Appropriations-4Yr'!E19+'Fed Contracts Grnts-4Yr'!E19+'Other Contract Grnts-4Yr'!E19+'Investment Income-4Yr'!E19+'All Other E&amp;G-4Yr'!E19</f>
        <v>0</v>
      </c>
      <c r="F19" s="58">
        <f>+'Tuition-4Yr'!F19+'State Appropriations-4Yr'!F19+'Local Appropriations-4Yr'!F19+'Fed Contracts Grnts-4Yr'!F19+'Other Contract Grnts-4Yr'!F19+'Investment Income-4Yr'!F19+'All Other E&amp;G-4Yr'!F19</f>
        <v>0</v>
      </c>
      <c r="G19" s="58">
        <f>+'Tuition-4Yr'!G19+'State Appropriations-4Yr'!G19+'Local Appropriations-4Yr'!G19+'Fed Contracts Grnts-4Yr'!G19+'Other Contract Grnts-4Yr'!G19+'Investment Income-4Yr'!G19+'All Other E&amp;G-4Yr'!G19</f>
        <v>0</v>
      </c>
      <c r="H19" s="58">
        <f>+'Tuition-4Yr'!H19+'State Appropriations-4Yr'!H19+'Local Appropriations-4Yr'!H19+'Fed Contracts Grnts-4Yr'!H19+'Other Contract Grnts-4Yr'!H19+'Investment Income-4Yr'!H19+'All Other E&amp;G-4Yr'!H19</f>
        <v>0</v>
      </c>
      <c r="I19" s="58">
        <f>+'Tuition-4Yr'!I19+'State Appropriations-4Yr'!I19+'Local Appropriations-4Yr'!I19+'Fed Contracts Grnts-4Yr'!I19+'Other Contract Grnts-4Yr'!I19+'Investment Income-4Yr'!I19+'All Other E&amp;G-4Yr'!I19</f>
        <v>1073402.5490000001</v>
      </c>
      <c r="J19" s="58">
        <f>+'Tuition-4Yr'!J19+'State Appropriations-4Yr'!J19+'Local Appropriations-4Yr'!J19+'Fed Contracts Grnts-4Yr'!J19+'Other Contract Grnts-4Yr'!J19+'Investment Income-4Yr'!J19+'All Other E&amp;G-4Yr'!J19</f>
        <v>1066566.7720000001</v>
      </c>
      <c r="K19" s="58">
        <f>+'Tuition-4Yr'!K19+'State Appropriations-4Yr'!K19+'Local Appropriations-4Yr'!K19+'Fed Contracts Grnts-4Yr'!K19+'Other Contract Grnts-4Yr'!K19+'Investment Income-4Yr'!K19+'All Other E&amp;G-4Yr'!K19</f>
        <v>1195756.3629999999</v>
      </c>
      <c r="L19" s="58">
        <f>+'Tuition-4Yr'!L19+'State Appropriations-4Yr'!L19+'Local Appropriations-4Yr'!L19+'Fed Contracts Grnts-4Yr'!L19+'Other Contract Grnts-4Yr'!L19+'Investment Income-4Yr'!L19+'All Other E&amp;G-4Yr'!L19</f>
        <v>1272771.3420000002</v>
      </c>
      <c r="M19" s="58">
        <f>+'Tuition-4Yr'!M19+'State Appropriations-4Yr'!M19+'Local Appropriations-4Yr'!M19+'Fed Contracts Grnts-4Yr'!M19+'Other Contract Grnts-4Yr'!M19+'Investment Income-4Yr'!M19+'All Other E&amp;G-4Yr'!M19</f>
        <v>1312656.497</v>
      </c>
      <c r="N19" s="58">
        <f>+'Tuition-4Yr'!N19+'State Appropriations-4Yr'!N19+'Local Appropriations-4Yr'!N19+'Fed Contracts Grnts-4Yr'!N19+'Other Contract Grnts-4Yr'!N19+'Investment Income-4Yr'!N19+'All Other E&amp;G-4Yr'!N19</f>
        <v>1393825.5719999999</v>
      </c>
      <c r="O19" s="58">
        <f>+'Tuition-4Yr'!O19+'State Appropriations-4Yr'!O19+'Local Appropriations-4Yr'!O19+'Fed Contracts Grnts-4Yr'!O19+'Other Contract Grnts-4Yr'!O19+'Investment Income-4Yr'!O19+'All Other E&amp;G-4Yr'!O19</f>
        <v>1445985.047</v>
      </c>
      <c r="P19" s="58">
        <f>+'Tuition-4Yr'!P19+'State Appropriations-4Yr'!P19+'Local Appropriations-4Yr'!P19+'Fed Contracts Grnts-4Yr'!P19+'Other Contract Grnts-4Yr'!P19+'Investment Income-4Yr'!P19+'All Other E&amp;G-4Yr'!P19</f>
        <v>0</v>
      </c>
      <c r="Q19" s="58">
        <f>+'Tuition-4Yr'!Q19+'State Appropriations-4Yr'!Q19+'Local Appropriations-4Yr'!Q19+'Fed Contracts Grnts-4Yr'!Q19+'Other Contract Grnts-4Yr'!Q19+'Investment Income-4Yr'!Q19+'All Other E&amp;G-4Yr'!Q19</f>
        <v>0</v>
      </c>
      <c r="R19" s="58">
        <f>+'Tuition-4Yr'!R19+'State Appropriations-4Yr'!R19+'Local Appropriations-4Yr'!R19+'Fed Contracts Grnts-4Yr'!R19+'Other Contract Grnts-4Yr'!R19+'Investment Income-4Yr'!R19+'All Other E&amp;G-4Yr'!R19</f>
        <v>1768231.898</v>
      </c>
      <c r="S19" s="58">
        <f>+'Tuition-4Yr'!S19+'State Appropriations-4Yr'!S19+'Local Appropriations-4Yr'!S19+'Fed Contracts Grnts-4Yr'!S19+'Other Contract Grnts-4Yr'!S19+'Investment Income-4Yr'!S19+'All Other E&amp;G-4Yr'!S19</f>
        <v>1908867.824</v>
      </c>
      <c r="T19" s="58">
        <f>+'Tuition-4Yr'!T19+'State Appropriations-4Yr'!T19+'Local Appropriations-4Yr'!T19+'Fed Contracts Grnts-4Yr'!T19+'Other Contract Grnts-4Yr'!T19+'Investment Income-4Yr'!T19+'All Other E&amp;G-4Yr'!T19</f>
        <v>2015328.1070000001</v>
      </c>
      <c r="U19" s="58">
        <f>+'Tuition-4Yr'!U19+'State Appropriations-4Yr'!U19+'Local Appropriations-4Yr'!U19+'Fed Contracts Grnts-4Yr'!U19+'Other Contract Grnts-4Yr'!U19+'Investment Income-4Yr'!U19+'All Other E&amp;G-4Yr'!U19</f>
        <v>2053652.32</v>
      </c>
      <c r="V19" s="58">
        <f>+'Tuition-4Yr'!V19+'State Appropriations-4Yr'!V19+'Local Appropriations-4Yr'!V19+'Fed Contracts Grnts-4Yr'!V19+'Other Contract Grnts-4Yr'!V19+'Investment Income-4Yr'!V19+'All Other E&amp;G-4Yr'!V19</f>
        <v>2230563.2520000003</v>
      </c>
      <c r="W19" s="58">
        <f>+'Tuition-4Yr'!W19+'State Appropriations-4Yr'!W19+'Local Appropriations-4Yr'!W19+'Fed Contracts Grnts-4Yr'!W19+'Other Contract Grnts-4Yr'!W19+'Investment Income-4Yr'!W19+'All Other E&amp;G-4Yr'!W19</f>
        <v>2487607.9959999998</v>
      </c>
      <c r="X19" s="58">
        <f>+'Tuition-4Yr'!X19+'State Appropriations-4Yr'!X19+'Local Appropriations-4Yr'!X19+'Fed Contracts Grnts-4Yr'!X19+'Other Contract Grnts-4Yr'!X19+'Investment Income-4Yr'!X19+'All Other E&amp;G-4Yr'!X19</f>
        <v>2498351.1239999998</v>
      </c>
      <c r="Y19" s="58">
        <f>+'Tuition-4Yr'!Y19+'State Appropriations-4Yr'!Y19+'Local Appropriations-4Yr'!Y19+'Fed Contracts Grnts-4Yr'!Y19+'Other Contract Grnts-4Yr'!Y19+'Investment Income-4Yr'!Y19+'All Other E&amp;G-4Yr'!Y19</f>
        <v>2741713.7749999999</v>
      </c>
      <c r="Z19" s="58">
        <f>+'Tuition-4Yr'!Z19+'State Appropriations-4Yr'!Z19+'Local Appropriations-4Yr'!Z19+'Fed Contracts Grnts-4Yr'!Z19+'Other Contract Grnts-4Yr'!Z19+'Investment Income-4Yr'!Z19+'All Other E&amp;G-4Yr'!Z19</f>
        <v>2697176.5120000001</v>
      </c>
      <c r="AA19" s="58">
        <f>+'Tuition-4Yr'!AA19+'State Appropriations-4Yr'!AA19+'Local Appropriations-4Yr'!AA19+'Fed Contracts Grnts-4Yr'!AA19+'Other Contract Grnts-4Yr'!AA19+'Investment Income-4Yr'!AA19+'All Other E&amp;G-4Yr'!AA19</f>
        <v>2865680.5509999995</v>
      </c>
      <c r="AB19" s="58">
        <f>+'Tuition-4Yr'!AB19+'State Appropriations-4Yr'!AB19+'Local Appropriations-4Yr'!AB19+'Fed Contracts Grnts-4Yr'!AB19+'Other Contract Grnts-4Yr'!AB19+'Investment Income-4Yr'!AB19+'All Other E&amp;G-4Yr'!AB19</f>
        <v>3276243.3470000001</v>
      </c>
      <c r="AC19" s="58">
        <f>+'Tuition-4Yr'!AC19+'State Appropriations-4Yr'!AC19+'Local Appropriations-4Yr'!AC19+'Fed Contracts Grnts-4Yr'!AC19+'Other Contract Grnts-4Yr'!AC19+'Investment Income-4Yr'!AC19+'All Other E&amp;G-4Yr'!AC19</f>
        <v>3612624</v>
      </c>
      <c r="AD19" s="58">
        <f>+'Tuition-4Yr'!AD19+'State Appropriations-4Yr'!AD19+'Local Appropriations-4Yr'!AD19+'Fed Contracts Grnts-4Yr'!AD19+'Other Contract Grnts-4Yr'!AD19+'Investment Income-4Yr'!AD19+'All Other E&amp;G-4Yr'!AD19</f>
        <v>3369332.5379999997</v>
      </c>
      <c r="AE19" s="58">
        <f>+'Tuition-4Yr'!AE19+'State Appropriations-4Yr'!AE19+'Local Appropriations-4Yr'!AE19+'Fed Contracts Grnts-4Yr'!AE19+'Other Contract Grnts-4Yr'!AE19+'Investment Income-4Yr'!AE19+'All Other E&amp;G-4Yr'!AE19</f>
        <v>3489328.4380000001</v>
      </c>
      <c r="AF19" s="58">
        <f>+'Tuition-4Yr'!AF19+'State Appropriations-4Yr'!AF19+'Local Appropriations-4Yr'!AF19+'Fed Contracts Grnts-4Yr'!AF19+'Other Contract Grnts-4Yr'!AF19+'Investment Income-4Yr'!AF19+'All Other E&amp;G-4Yr'!AF19</f>
        <v>3541595.5090000005</v>
      </c>
      <c r="AG19" s="58">
        <f>+'Tuition-4Yr'!AG19+'State Appropriations-4Yr'!AG19+'Local Appropriations-4Yr'!AG19+'Fed Contracts Grnts-4Yr'!AG19+'Other Contract Grnts-4Yr'!AG19+'Investment Income-4Yr'!AG19+'All Other E&amp;G-4Yr'!AG19</f>
        <v>3653479.2779999999</v>
      </c>
      <c r="AH19" s="58">
        <f>+'Tuition-4Yr'!AH19+'State Appropriations-4Yr'!AH19+'Local Appropriations-4Yr'!AH19+'Fed Contracts Grnts-4Yr'!AH19+'Other Contract Grnts-4Yr'!AH19+'Investment Income-4Yr'!AH19+'All Other E&amp;G-4Yr'!AH19</f>
        <v>3788336.1010000003</v>
      </c>
      <c r="AI19" s="58">
        <f>+'Tuition-4Yr'!AI19+'State Appropriations-4Yr'!AI19+'Local Appropriations-4Yr'!AI19+'Fed Contracts Grnts-4Yr'!AI19+'Other Contract Grnts-4Yr'!AI19+'Investment Income-4Yr'!AI19+'All Other E&amp;G-4Yr'!AI19</f>
        <v>3913161.61</v>
      </c>
      <c r="AJ19" s="58">
        <f>+'Tuition-4Yr'!AJ19+'State Appropriations-4Yr'!AJ19+'Local Appropriations-4Yr'!AJ19+'Fed Contracts Grnts-4Yr'!AJ19+'Other Contract Grnts-4Yr'!AJ19+'Investment Income-4Yr'!AJ19+'All Other E&amp;G-4Yr'!AJ19</f>
        <v>0</v>
      </c>
      <c r="AK19" s="58">
        <f>+'Tuition-4Yr'!AK19+'State Appropriations-4Yr'!AK19+'Local Appropriations-4Yr'!AK19+'Fed Contracts Grnts-4Yr'!AK19+'Other Contract Grnts-4Yr'!AK19+'Investment Income-4Yr'!AK19+'All Other E&amp;G-4Yr'!AK19</f>
        <v>4394434.7079999996</v>
      </c>
    </row>
    <row r="20" spans="1:37" ht="12.75" customHeight="1">
      <c r="A20" s="1" t="s">
        <v>34</v>
      </c>
      <c r="B20" s="58">
        <f>+'Tuition-4Yr'!B20+'State Appropriations-4Yr'!B20+'Local Appropriations-4Yr'!B20+'Fed Contracts Grnts-4Yr'!B20+'Other Contract Grnts-4Yr'!B20+'Investment Income-4Yr'!B20+'All Other E&amp;G-4Yr'!B20</f>
        <v>2855354</v>
      </c>
      <c r="C20" s="58">
        <f>+'Tuition-4Yr'!C20+'State Appropriations-4Yr'!C20+'Local Appropriations-4Yr'!C20+'Fed Contracts Grnts-4Yr'!C20+'Other Contract Grnts-4Yr'!C20+'Investment Income-4Yr'!C20+'All Other E&amp;G-4Yr'!C20</f>
        <v>3040766</v>
      </c>
      <c r="D20" s="58">
        <f>+'Tuition-4Yr'!D20+'State Appropriations-4Yr'!D20+'Local Appropriations-4Yr'!D20+'Fed Contracts Grnts-4Yr'!D20+'Other Contract Grnts-4Yr'!D20+'Investment Income-4Yr'!D20+'All Other E&amp;G-4Yr'!D20</f>
        <v>3269696</v>
      </c>
      <c r="E20" s="58">
        <f>+'Tuition-4Yr'!E20+'State Appropriations-4Yr'!E20+'Local Appropriations-4Yr'!E20+'Fed Contracts Grnts-4Yr'!E20+'Other Contract Grnts-4Yr'!E20+'Investment Income-4Yr'!E20+'All Other E&amp;G-4Yr'!E20</f>
        <v>0</v>
      </c>
      <c r="F20" s="58">
        <f>+'Tuition-4Yr'!F20+'State Appropriations-4Yr'!F20+'Local Appropriations-4Yr'!F20+'Fed Contracts Grnts-4Yr'!F20+'Other Contract Grnts-4Yr'!F20+'Investment Income-4Yr'!F20+'All Other E&amp;G-4Yr'!F20</f>
        <v>0</v>
      </c>
      <c r="G20" s="58">
        <f>+'Tuition-4Yr'!G20+'State Appropriations-4Yr'!G20+'Local Appropriations-4Yr'!G20+'Fed Contracts Grnts-4Yr'!G20+'Other Contract Grnts-4Yr'!G20+'Investment Income-4Yr'!G20+'All Other E&amp;G-4Yr'!G20</f>
        <v>0</v>
      </c>
      <c r="H20" s="58">
        <f>+'Tuition-4Yr'!H20+'State Appropriations-4Yr'!H20+'Local Appropriations-4Yr'!H20+'Fed Contracts Grnts-4Yr'!H20+'Other Contract Grnts-4Yr'!H20+'Investment Income-4Yr'!H20+'All Other E&amp;G-4Yr'!H20</f>
        <v>0</v>
      </c>
      <c r="I20" s="58">
        <f>+'Tuition-4Yr'!I20+'State Appropriations-4Yr'!I20+'Local Appropriations-4Yr'!I20+'Fed Contracts Grnts-4Yr'!I20+'Other Contract Grnts-4Yr'!I20+'Investment Income-4Yr'!I20+'All Other E&amp;G-4Yr'!I20</f>
        <v>4208654.3260000004</v>
      </c>
      <c r="J20" s="58">
        <f>+'Tuition-4Yr'!J20+'State Appropriations-4Yr'!J20+'Local Appropriations-4Yr'!J20+'Fed Contracts Grnts-4Yr'!J20+'Other Contract Grnts-4Yr'!J20+'Investment Income-4Yr'!J20+'All Other E&amp;G-4Yr'!J20</f>
        <v>4696564.4870000007</v>
      </c>
      <c r="K20" s="58">
        <f>+'Tuition-4Yr'!K20+'State Appropriations-4Yr'!K20+'Local Appropriations-4Yr'!K20+'Fed Contracts Grnts-4Yr'!K20+'Other Contract Grnts-4Yr'!K20+'Investment Income-4Yr'!K20+'All Other E&amp;G-4Yr'!K20</f>
        <v>5162226.0109999999</v>
      </c>
      <c r="L20" s="58">
        <f>+'Tuition-4Yr'!L20+'State Appropriations-4Yr'!L20+'Local Appropriations-4Yr'!L20+'Fed Contracts Grnts-4Yr'!L20+'Other Contract Grnts-4Yr'!L20+'Investment Income-4Yr'!L20+'All Other E&amp;G-4Yr'!L20</f>
        <v>5525359.0989999995</v>
      </c>
      <c r="M20" s="58">
        <f>+'Tuition-4Yr'!M20+'State Appropriations-4Yr'!M20+'Local Appropriations-4Yr'!M20+'Fed Contracts Grnts-4Yr'!M20+'Other Contract Grnts-4Yr'!M20+'Investment Income-4Yr'!M20+'All Other E&amp;G-4Yr'!M20</f>
        <v>5776011.6170000006</v>
      </c>
      <c r="N20" s="58">
        <f>+'Tuition-4Yr'!N20+'State Appropriations-4Yr'!N20+'Local Appropriations-4Yr'!N20+'Fed Contracts Grnts-4Yr'!N20+'Other Contract Grnts-4Yr'!N20+'Investment Income-4Yr'!N20+'All Other E&amp;G-4Yr'!N20</f>
        <v>6469432.5069999993</v>
      </c>
      <c r="O20" s="58">
        <f>+'Tuition-4Yr'!O20+'State Appropriations-4Yr'!O20+'Local Appropriations-4Yr'!O20+'Fed Contracts Grnts-4Yr'!O20+'Other Contract Grnts-4Yr'!O20+'Investment Income-4Yr'!O20+'All Other E&amp;G-4Yr'!O20</f>
        <v>6733292.7989999996</v>
      </c>
      <c r="P20" s="58">
        <f>+'Tuition-4Yr'!P20+'State Appropriations-4Yr'!P20+'Local Appropriations-4Yr'!P20+'Fed Contracts Grnts-4Yr'!P20+'Other Contract Grnts-4Yr'!P20+'Investment Income-4Yr'!P20+'All Other E&amp;G-4Yr'!P20</f>
        <v>0</v>
      </c>
      <c r="Q20" s="58">
        <f>+'Tuition-4Yr'!Q20+'State Appropriations-4Yr'!Q20+'Local Appropriations-4Yr'!Q20+'Fed Contracts Grnts-4Yr'!Q20+'Other Contract Grnts-4Yr'!Q20+'Investment Income-4Yr'!Q20+'All Other E&amp;G-4Yr'!Q20</f>
        <v>0</v>
      </c>
      <c r="R20" s="58">
        <f>+'Tuition-4Yr'!R20+'State Appropriations-4Yr'!R20+'Local Appropriations-4Yr'!R20+'Fed Contracts Grnts-4Yr'!R20+'Other Contract Grnts-4Yr'!R20+'Investment Income-4Yr'!R20+'All Other E&amp;G-4Yr'!R20</f>
        <v>7944428.3909999998</v>
      </c>
      <c r="S20" s="58">
        <f>+'Tuition-4Yr'!S20+'State Appropriations-4Yr'!S20+'Local Appropriations-4Yr'!S20+'Fed Contracts Grnts-4Yr'!S20+'Other Contract Grnts-4Yr'!S20+'Investment Income-4Yr'!S20+'All Other E&amp;G-4Yr'!S20</f>
        <v>8760716.3550000004</v>
      </c>
      <c r="T20" s="58">
        <f>+'Tuition-4Yr'!T20+'State Appropriations-4Yr'!T20+'Local Appropriations-4Yr'!T20+'Fed Contracts Grnts-4Yr'!T20+'Other Contract Grnts-4Yr'!T20+'Investment Income-4Yr'!T20+'All Other E&amp;G-4Yr'!T20</f>
        <v>10709200.309999999</v>
      </c>
      <c r="U20" s="58">
        <f>+'Tuition-4Yr'!U20+'State Appropriations-4Yr'!U20+'Local Appropriations-4Yr'!U20+'Fed Contracts Grnts-4Yr'!U20+'Other Contract Grnts-4Yr'!U20+'Investment Income-4Yr'!U20+'All Other E&amp;G-4Yr'!U20</f>
        <v>11355153.380000001</v>
      </c>
      <c r="V20" s="58">
        <f>+'Tuition-4Yr'!V20+'State Appropriations-4Yr'!V20+'Local Appropriations-4Yr'!V20+'Fed Contracts Grnts-4Yr'!V20+'Other Contract Grnts-4Yr'!V20+'Investment Income-4Yr'!V20+'All Other E&amp;G-4Yr'!V20</f>
        <v>11971042.774999999</v>
      </c>
      <c r="W20" s="58">
        <f>+'Tuition-4Yr'!W20+'State Appropriations-4Yr'!W20+'Local Appropriations-4Yr'!W20+'Fed Contracts Grnts-4Yr'!W20+'Other Contract Grnts-4Yr'!W20+'Investment Income-4Yr'!W20+'All Other E&amp;G-4Yr'!W20</f>
        <v>13673741.325999999</v>
      </c>
      <c r="X20" s="58">
        <f>+'Tuition-4Yr'!X20+'State Appropriations-4Yr'!X20+'Local Appropriations-4Yr'!X20+'Fed Contracts Grnts-4Yr'!X20+'Other Contract Grnts-4Yr'!X20+'Investment Income-4Yr'!X20+'All Other E&amp;G-4Yr'!X20</f>
        <v>12906029.742000001</v>
      </c>
      <c r="Y20" s="58">
        <f>+'Tuition-4Yr'!Y20+'State Appropriations-4Yr'!Y20+'Local Appropriations-4Yr'!Y20+'Fed Contracts Grnts-4Yr'!Y20+'Other Contract Grnts-4Yr'!Y20+'Investment Income-4Yr'!Y20+'All Other E&amp;G-4Yr'!Y20</f>
        <v>14463335.293</v>
      </c>
      <c r="Z20" s="58">
        <f>+'Tuition-4Yr'!Z20+'State Appropriations-4Yr'!Z20+'Local Appropriations-4Yr'!Z20+'Fed Contracts Grnts-4Yr'!Z20+'Other Contract Grnts-4Yr'!Z20+'Investment Income-4Yr'!Z20+'All Other E&amp;G-4Yr'!Z20</f>
        <v>14268530.936000001</v>
      </c>
      <c r="AA20" s="58">
        <f>+'Tuition-4Yr'!AA20+'State Appropriations-4Yr'!AA20+'Local Appropriations-4Yr'!AA20+'Fed Contracts Grnts-4Yr'!AA20+'Other Contract Grnts-4Yr'!AA20+'Investment Income-4Yr'!AA20+'All Other E&amp;G-4Yr'!AA20</f>
        <v>10385411.127</v>
      </c>
      <c r="AB20" s="58">
        <f>+'Tuition-4Yr'!AB20+'State Appropriations-4Yr'!AB20+'Local Appropriations-4Yr'!AB20+'Fed Contracts Grnts-4Yr'!AB20+'Other Contract Grnts-4Yr'!AB20+'Investment Income-4Yr'!AB20+'All Other E&amp;G-4Yr'!AB20</f>
        <v>17808978.030999999</v>
      </c>
      <c r="AC20" s="58">
        <f>+'Tuition-4Yr'!AC20+'State Appropriations-4Yr'!AC20+'Local Appropriations-4Yr'!AC20+'Fed Contracts Grnts-4Yr'!AC20+'Other Contract Grnts-4Yr'!AC20+'Investment Income-4Yr'!AC20+'All Other E&amp;G-4Yr'!AC20</f>
        <v>18535745</v>
      </c>
      <c r="AD20" s="58">
        <f>+'Tuition-4Yr'!AD20+'State Appropriations-4Yr'!AD20+'Local Appropriations-4Yr'!AD20+'Fed Contracts Grnts-4Yr'!AD20+'Other Contract Grnts-4Yr'!AD20+'Investment Income-4Yr'!AD20+'All Other E&amp;G-4Yr'!AD20</f>
        <v>17697132.737</v>
      </c>
      <c r="AE20" s="58">
        <f>+'Tuition-4Yr'!AE20+'State Appropriations-4Yr'!AE20+'Local Appropriations-4Yr'!AE20+'Fed Contracts Grnts-4Yr'!AE20+'Other Contract Grnts-4Yr'!AE20+'Investment Income-4Yr'!AE20+'All Other E&amp;G-4Yr'!AE20</f>
        <v>13653906.197999999</v>
      </c>
      <c r="AF20" s="58">
        <f>+'Tuition-4Yr'!AF20+'State Appropriations-4Yr'!AF20+'Local Appropriations-4Yr'!AF20+'Fed Contracts Grnts-4Yr'!AF20+'Other Contract Grnts-4Yr'!AF20+'Investment Income-4Yr'!AF20+'All Other E&amp;G-4Yr'!AF20</f>
        <v>15012754.888</v>
      </c>
      <c r="AG20" s="58">
        <f>+'Tuition-4Yr'!AG20+'State Appropriations-4Yr'!AG20+'Local Appropriations-4Yr'!AG20+'Fed Contracts Grnts-4Yr'!AG20+'Other Contract Grnts-4Yr'!AG20+'Investment Income-4Yr'!AG20+'All Other E&amp;G-4Yr'!AG20</f>
        <v>15354502.934000002</v>
      </c>
      <c r="AH20" s="58">
        <f>+'Tuition-4Yr'!AH20+'State Appropriations-4Yr'!AH20+'Local Appropriations-4Yr'!AH20+'Fed Contracts Grnts-4Yr'!AH20+'Other Contract Grnts-4Yr'!AH20+'Investment Income-4Yr'!AH20+'All Other E&amp;G-4Yr'!AH20</f>
        <v>22541456.245000001</v>
      </c>
      <c r="AI20" s="58">
        <f>+'Tuition-4Yr'!AI20+'State Appropriations-4Yr'!AI20+'Local Appropriations-4Yr'!AI20+'Fed Contracts Grnts-4Yr'!AI20+'Other Contract Grnts-4Yr'!AI20+'Investment Income-4Yr'!AI20+'All Other E&amp;G-4Yr'!AI20</f>
        <v>24788339.470999997</v>
      </c>
      <c r="AJ20" s="58">
        <f>+'Tuition-4Yr'!AJ20+'State Appropriations-4Yr'!AJ20+'Local Appropriations-4Yr'!AJ20+'Fed Contracts Grnts-4Yr'!AJ20+'Other Contract Grnts-4Yr'!AJ20+'Investment Income-4Yr'!AJ20+'All Other E&amp;G-4Yr'!AJ20</f>
        <v>0</v>
      </c>
      <c r="AK20" s="58">
        <f>+'Tuition-4Yr'!AK20+'State Appropriations-4Yr'!AK20+'Local Appropriations-4Yr'!AK20+'Fed Contracts Grnts-4Yr'!AK20+'Other Contract Grnts-4Yr'!AK20+'Investment Income-4Yr'!AK20+'All Other E&amp;G-4Yr'!AK20</f>
        <v>27226300.368999999</v>
      </c>
    </row>
    <row r="21" spans="1:37" ht="12.75" customHeight="1">
      <c r="A21" s="1" t="s">
        <v>35</v>
      </c>
      <c r="B21" s="58">
        <f>+'Tuition-4Yr'!B21+'State Appropriations-4Yr'!B21+'Local Appropriations-4Yr'!B21+'Fed Contracts Grnts-4Yr'!B21+'Other Contract Grnts-4Yr'!B21+'Investment Income-4Yr'!B21+'All Other E&amp;G-4Yr'!B21</f>
        <v>850489</v>
      </c>
      <c r="C21" s="58">
        <f>+'Tuition-4Yr'!C21+'State Appropriations-4Yr'!C21+'Local Appropriations-4Yr'!C21+'Fed Contracts Grnts-4Yr'!C21+'Other Contract Grnts-4Yr'!C21+'Investment Income-4Yr'!C21+'All Other E&amp;G-4Yr'!C21</f>
        <v>1103420</v>
      </c>
      <c r="D21" s="58">
        <f>+'Tuition-4Yr'!D21+'State Appropriations-4Yr'!D21+'Local Appropriations-4Yr'!D21+'Fed Contracts Grnts-4Yr'!D21+'Other Contract Grnts-4Yr'!D21+'Investment Income-4Yr'!D21+'All Other E&amp;G-4Yr'!D21</f>
        <v>1230511</v>
      </c>
      <c r="E21" s="58">
        <f>+'Tuition-4Yr'!E21+'State Appropriations-4Yr'!E21+'Local Appropriations-4Yr'!E21+'Fed Contracts Grnts-4Yr'!E21+'Other Contract Grnts-4Yr'!E21+'Investment Income-4Yr'!E21+'All Other E&amp;G-4Yr'!E21</f>
        <v>0</v>
      </c>
      <c r="F21" s="58">
        <f>+'Tuition-4Yr'!F21+'State Appropriations-4Yr'!F21+'Local Appropriations-4Yr'!F21+'Fed Contracts Grnts-4Yr'!F21+'Other Contract Grnts-4Yr'!F21+'Investment Income-4Yr'!F21+'All Other E&amp;G-4Yr'!F21</f>
        <v>0</v>
      </c>
      <c r="G21" s="58">
        <f>+'Tuition-4Yr'!G21+'State Appropriations-4Yr'!G21+'Local Appropriations-4Yr'!G21+'Fed Contracts Grnts-4Yr'!G21+'Other Contract Grnts-4Yr'!G21+'Investment Income-4Yr'!G21+'All Other E&amp;G-4Yr'!G21</f>
        <v>0</v>
      </c>
      <c r="H21" s="58">
        <f>+'Tuition-4Yr'!H21+'State Appropriations-4Yr'!H21+'Local Appropriations-4Yr'!H21+'Fed Contracts Grnts-4Yr'!H21+'Other Contract Grnts-4Yr'!H21+'Investment Income-4Yr'!H21+'All Other E&amp;G-4Yr'!H21</f>
        <v>0</v>
      </c>
      <c r="I21" s="58">
        <f>+'Tuition-4Yr'!I21+'State Appropriations-4Yr'!I21+'Local Appropriations-4Yr'!I21+'Fed Contracts Grnts-4Yr'!I21+'Other Contract Grnts-4Yr'!I21+'Investment Income-4Yr'!I21+'All Other E&amp;G-4Yr'!I21</f>
        <v>1648121.933</v>
      </c>
      <c r="J21" s="58">
        <f>+'Tuition-4Yr'!J21+'State Appropriations-4Yr'!J21+'Local Appropriations-4Yr'!J21+'Fed Contracts Grnts-4Yr'!J21+'Other Contract Grnts-4Yr'!J21+'Investment Income-4Yr'!J21+'All Other E&amp;G-4Yr'!J21</f>
        <v>1672080.1730000004</v>
      </c>
      <c r="K21" s="58">
        <f>+'Tuition-4Yr'!K21+'State Appropriations-4Yr'!K21+'Local Appropriations-4Yr'!K21+'Fed Contracts Grnts-4Yr'!K21+'Other Contract Grnts-4Yr'!K21+'Investment Income-4Yr'!K21+'All Other E&amp;G-4Yr'!K21</f>
        <v>1737403.0619999997</v>
      </c>
      <c r="L21" s="58">
        <f>+'Tuition-4Yr'!L21+'State Appropriations-4Yr'!L21+'Local Appropriations-4Yr'!L21+'Fed Contracts Grnts-4Yr'!L21+'Other Contract Grnts-4Yr'!L21+'Investment Income-4Yr'!L21+'All Other E&amp;G-4Yr'!L21</f>
        <v>1835120.1820000003</v>
      </c>
      <c r="M21" s="58">
        <f>+'Tuition-4Yr'!M21+'State Appropriations-4Yr'!M21+'Local Appropriations-4Yr'!M21+'Fed Contracts Grnts-4Yr'!M21+'Other Contract Grnts-4Yr'!M21+'Investment Income-4Yr'!M21+'All Other E&amp;G-4Yr'!M21</f>
        <v>1974502.7690000001</v>
      </c>
      <c r="N21" s="58">
        <f>+'Tuition-4Yr'!N21+'State Appropriations-4Yr'!N21+'Local Appropriations-4Yr'!N21+'Fed Contracts Grnts-4Yr'!N21+'Other Contract Grnts-4Yr'!N21+'Investment Income-4Yr'!N21+'All Other E&amp;G-4Yr'!N21</f>
        <v>2011317.2259999998</v>
      </c>
      <c r="O21" s="58">
        <f>+'Tuition-4Yr'!O21+'State Appropriations-4Yr'!O21+'Local Appropriations-4Yr'!O21+'Fed Contracts Grnts-4Yr'!O21+'Other Contract Grnts-4Yr'!O21+'Investment Income-4Yr'!O21+'All Other E&amp;G-4Yr'!O21</f>
        <v>2160095.7800000003</v>
      </c>
      <c r="P21" s="58">
        <f>+'Tuition-4Yr'!P21+'State Appropriations-4Yr'!P21+'Local Appropriations-4Yr'!P21+'Fed Contracts Grnts-4Yr'!P21+'Other Contract Grnts-4Yr'!P21+'Investment Income-4Yr'!P21+'All Other E&amp;G-4Yr'!P21</f>
        <v>0</v>
      </c>
      <c r="Q21" s="58">
        <f>+'Tuition-4Yr'!Q21+'State Appropriations-4Yr'!Q21+'Local Appropriations-4Yr'!Q21+'Fed Contracts Grnts-4Yr'!Q21+'Other Contract Grnts-4Yr'!Q21+'Investment Income-4Yr'!Q21+'All Other E&amp;G-4Yr'!Q21</f>
        <v>0</v>
      </c>
      <c r="R21" s="58">
        <f>+'Tuition-4Yr'!R21+'State Appropriations-4Yr'!R21+'Local Appropriations-4Yr'!R21+'Fed Contracts Grnts-4Yr'!R21+'Other Contract Grnts-4Yr'!R21+'Investment Income-4Yr'!R21+'All Other E&amp;G-4Yr'!R21</f>
        <v>2610188.5920000002</v>
      </c>
      <c r="S21" s="58">
        <f>+'Tuition-4Yr'!S21+'State Appropriations-4Yr'!S21+'Local Appropriations-4Yr'!S21+'Fed Contracts Grnts-4Yr'!S21+'Other Contract Grnts-4Yr'!S21+'Investment Income-4Yr'!S21+'All Other E&amp;G-4Yr'!S21</f>
        <v>2852831.4869999997</v>
      </c>
      <c r="T21" s="58">
        <f>+'Tuition-4Yr'!T21+'State Appropriations-4Yr'!T21+'Local Appropriations-4Yr'!T21+'Fed Contracts Grnts-4Yr'!T21+'Other Contract Grnts-4Yr'!T21+'Investment Income-4Yr'!T21+'All Other E&amp;G-4Yr'!T21</f>
        <v>3007812.6450000005</v>
      </c>
      <c r="U21" s="58">
        <f>+'Tuition-4Yr'!U21+'State Appropriations-4Yr'!U21+'Local Appropriations-4Yr'!U21+'Fed Contracts Grnts-4Yr'!U21+'Other Contract Grnts-4Yr'!U21+'Investment Income-4Yr'!U21+'All Other E&amp;G-4Yr'!U21</f>
        <v>3131783.8659999999</v>
      </c>
      <c r="V21" s="58">
        <f>+'Tuition-4Yr'!V21+'State Appropriations-4Yr'!V21+'Local Appropriations-4Yr'!V21+'Fed Contracts Grnts-4Yr'!V21+'Other Contract Grnts-4Yr'!V21+'Investment Income-4Yr'!V21+'All Other E&amp;G-4Yr'!V21</f>
        <v>3333353.284</v>
      </c>
      <c r="W21" s="58">
        <f>+'Tuition-4Yr'!W21+'State Appropriations-4Yr'!W21+'Local Appropriations-4Yr'!W21+'Fed Contracts Grnts-4Yr'!W21+'Other Contract Grnts-4Yr'!W21+'Investment Income-4Yr'!W21+'All Other E&amp;G-4Yr'!W21</f>
        <v>3863963.3709999998</v>
      </c>
      <c r="X21" s="58">
        <f>+'Tuition-4Yr'!X21+'State Appropriations-4Yr'!X21+'Local Appropriations-4Yr'!X21+'Fed Contracts Grnts-4Yr'!X21+'Other Contract Grnts-4Yr'!X21+'Investment Income-4Yr'!X21+'All Other E&amp;G-4Yr'!X21</f>
        <v>3967673.9350000005</v>
      </c>
      <c r="Y21" s="58">
        <f>+'Tuition-4Yr'!Y21+'State Appropriations-4Yr'!Y21+'Local Appropriations-4Yr'!Y21+'Fed Contracts Grnts-4Yr'!Y21+'Other Contract Grnts-4Yr'!Y21+'Investment Income-4Yr'!Y21+'All Other E&amp;G-4Yr'!Y21</f>
        <v>4659183.1189999999</v>
      </c>
      <c r="Z21" s="58">
        <f>+'Tuition-4Yr'!Z21+'State Appropriations-4Yr'!Z21+'Local Appropriations-4Yr'!Z21+'Fed Contracts Grnts-4Yr'!Z21+'Other Contract Grnts-4Yr'!Z21+'Investment Income-4Yr'!Z21+'All Other E&amp;G-4Yr'!Z21</f>
        <v>4387659.9350000005</v>
      </c>
      <c r="AA21" s="58">
        <f>+'Tuition-4Yr'!AA21+'State Appropriations-4Yr'!AA21+'Local Appropriations-4Yr'!AA21+'Fed Contracts Grnts-4Yr'!AA21+'Other Contract Grnts-4Yr'!AA21+'Investment Income-4Yr'!AA21+'All Other E&amp;G-4Yr'!AA21</f>
        <v>3625720.4989999994</v>
      </c>
      <c r="AB21" s="58">
        <f>+'Tuition-4Yr'!AB21+'State Appropriations-4Yr'!AB21+'Local Appropriations-4Yr'!AB21+'Fed Contracts Grnts-4Yr'!AB21+'Other Contract Grnts-4Yr'!AB21+'Investment Income-4Yr'!AB21+'All Other E&amp;G-4Yr'!AB21</f>
        <v>5111979.0520000011</v>
      </c>
      <c r="AC21" s="58">
        <f>+'Tuition-4Yr'!AC21+'State Appropriations-4Yr'!AC21+'Local Appropriations-4Yr'!AC21+'Fed Contracts Grnts-4Yr'!AC21+'Other Contract Grnts-4Yr'!AC21+'Investment Income-4Yr'!AC21+'All Other E&amp;G-4Yr'!AC21</f>
        <v>5935586</v>
      </c>
      <c r="AD21" s="58">
        <f>+'Tuition-4Yr'!AD21+'State Appropriations-4Yr'!AD21+'Local Appropriations-4Yr'!AD21+'Fed Contracts Grnts-4Yr'!AD21+'Other Contract Grnts-4Yr'!AD21+'Investment Income-4Yr'!AD21+'All Other E&amp;G-4Yr'!AD21</f>
        <v>5338529.7220000001</v>
      </c>
      <c r="AE21" s="58">
        <f>+'Tuition-4Yr'!AE21+'State Appropriations-4Yr'!AE21+'Local Appropriations-4Yr'!AE21+'Fed Contracts Grnts-4Yr'!AE21+'Other Contract Grnts-4Yr'!AE21+'Investment Income-4Yr'!AE21+'All Other E&amp;G-4Yr'!AE21</f>
        <v>5892547.4369999999</v>
      </c>
      <c r="AF21" s="58">
        <f>+'Tuition-4Yr'!AF21+'State Appropriations-4Yr'!AF21+'Local Appropriations-4Yr'!AF21+'Fed Contracts Grnts-4Yr'!AF21+'Other Contract Grnts-4Yr'!AF21+'Investment Income-4Yr'!AF21+'All Other E&amp;G-4Yr'!AF21</f>
        <v>6390379.0719999997</v>
      </c>
      <c r="AG21" s="58">
        <f>+'Tuition-4Yr'!AG21+'State Appropriations-4Yr'!AG21+'Local Appropriations-4Yr'!AG21+'Fed Contracts Grnts-4Yr'!AG21+'Other Contract Grnts-4Yr'!AG21+'Investment Income-4Yr'!AG21+'All Other E&amp;G-4Yr'!AG21</f>
        <v>6194111.057</v>
      </c>
      <c r="AH21" s="58">
        <f>+'Tuition-4Yr'!AH21+'State Appropriations-4Yr'!AH21+'Local Appropriations-4Yr'!AH21+'Fed Contracts Grnts-4Yr'!AH21+'Other Contract Grnts-4Yr'!AH21+'Investment Income-4Yr'!AH21+'All Other E&amp;G-4Yr'!AH21</f>
        <v>5940822.5350000001</v>
      </c>
      <c r="AI21" s="58">
        <f>+'Tuition-4Yr'!AI21+'State Appropriations-4Yr'!AI21+'Local Appropriations-4Yr'!AI21+'Fed Contracts Grnts-4Yr'!AI21+'Other Contract Grnts-4Yr'!AI21+'Investment Income-4Yr'!AI21+'All Other E&amp;G-4Yr'!AI21</f>
        <v>7128703.4300000006</v>
      </c>
      <c r="AJ21" s="58">
        <f>+'Tuition-4Yr'!AJ21+'State Appropriations-4Yr'!AJ21+'Local Appropriations-4Yr'!AJ21+'Fed Contracts Grnts-4Yr'!AJ21+'Other Contract Grnts-4Yr'!AJ21+'Investment Income-4Yr'!AJ21+'All Other E&amp;G-4Yr'!AJ21</f>
        <v>0</v>
      </c>
      <c r="AK21" s="58">
        <f>+'Tuition-4Yr'!AK21+'State Appropriations-4Yr'!AK21+'Local Appropriations-4Yr'!AK21+'Fed Contracts Grnts-4Yr'!AK21+'Other Contract Grnts-4Yr'!AK21+'Investment Income-4Yr'!AK21+'All Other E&amp;G-4Yr'!AK21</f>
        <v>7829309.1870000008</v>
      </c>
    </row>
    <row r="22" spans="1:37" ht="12.75" customHeight="1">
      <c r="A22" s="30" t="s">
        <v>36</v>
      </c>
      <c r="B22" s="62">
        <f>+'Tuition-4Yr'!B22+'State Appropriations-4Yr'!B22+'Local Appropriations-4Yr'!B22+'Fed Contracts Grnts-4Yr'!B22+'Other Contract Grnts-4Yr'!B22+'Investment Income-4Yr'!B22+'All Other E&amp;G-4Yr'!B22</f>
        <v>297837</v>
      </c>
      <c r="C22" s="62">
        <f>+'Tuition-4Yr'!C22+'State Appropriations-4Yr'!C22+'Local Appropriations-4Yr'!C22+'Fed Contracts Grnts-4Yr'!C22+'Other Contract Grnts-4Yr'!C22+'Investment Income-4Yr'!C22+'All Other E&amp;G-4Yr'!C22</f>
        <v>298051</v>
      </c>
      <c r="D22" s="62">
        <f>+'Tuition-4Yr'!D22+'State Appropriations-4Yr'!D22+'Local Appropriations-4Yr'!D22+'Fed Contracts Grnts-4Yr'!D22+'Other Contract Grnts-4Yr'!D22+'Investment Income-4Yr'!D22+'All Other E&amp;G-4Yr'!D22</f>
        <v>321711</v>
      </c>
      <c r="E22" s="62">
        <f>+'Tuition-4Yr'!E22+'State Appropriations-4Yr'!E22+'Local Appropriations-4Yr'!E22+'Fed Contracts Grnts-4Yr'!E22+'Other Contract Grnts-4Yr'!E22+'Investment Income-4Yr'!E22+'All Other E&amp;G-4Yr'!E22</f>
        <v>0</v>
      </c>
      <c r="F22" s="62">
        <f>+'Tuition-4Yr'!F22+'State Appropriations-4Yr'!F22+'Local Appropriations-4Yr'!F22+'Fed Contracts Grnts-4Yr'!F22+'Other Contract Grnts-4Yr'!F22+'Investment Income-4Yr'!F22+'All Other E&amp;G-4Yr'!F22</f>
        <v>0</v>
      </c>
      <c r="G22" s="62">
        <f>+'Tuition-4Yr'!G22+'State Appropriations-4Yr'!G22+'Local Appropriations-4Yr'!G22+'Fed Contracts Grnts-4Yr'!G22+'Other Contract Grnts-4Yr'!G22+'Investment Income-4Yr'!G22+'All Other E&amp;G-4Yr'!G22</f>
        <v>0</v>
      </c>
      <c r="H22" s="62">
        <f>+'Tuition-4Yr'!H22+'State Appropriations-4Yr'!H22+'Local Appropriations-4Yr'!H22+'Fed Contracts Grnts-4Yr'!H22+'Other Contract Grnts-4Yr'!H22+'Investment Income-4Yr'!H22+'All Other E&amp;G-4Yr'!H22</f>
        <v>0</v>
      </c>
      <c r="I22" s="62">
        <f>+'Tuition-4Yr'!I22+'State Appropriations-4Yr'!I22+'Local Appropriations-4Yr'!I22+'Fed Contracts Grnts-4Yr'!I22+'Other Contract Grnts-4Yr'!I22+'Investment Income-4Yr'!I22+'All Other E&amp;G-4Yr'!I22</f>
        <v>487143.79000000004</v>
      </c>
      <c r="J22" s="62">
        <f>+'Tuition-4Yr'!J22+'State Appropriations-4Yr'!J22+'Local Appropriations-4Yr'!J22+'Fed Contracts Grnts-4Yr'!J22+'Other Contract Grnts-4Yr'!J22+'Investment Income-4Yr'!J22+'All Other E&amp;G-4Yr'!J22</f>
        <v>529810.41999999993</v>
      </c>
      <c r="K22" s="62">
        <f>+'Tuition-4Yr'!K22+'State Appropriations-4Yr'!K22+'Local Appropriations-4Yr'!K22+'Fed Contracts Grnts-4Yr'!K22+'Other Contract Grnts-4Yr'!K22+'Investment Income-4Yr'!K22+'All Other E&amp;G-4Yr'!K22</f>
        <v>556836.26300000004</v>
      </c>
      <c r="L22" s="62">
        <f>+'Tuition-4Yr'!L22+'State Appropriations-4Yr'!L22+'Local Appropriations-4Yr'!L22+'Fed Contracts Grnts-4Yr'!L22+'Other Contract Grnts-4Yr'!L22+'Investment Income-4Yr'!L22+'All Other E&amp;G-4Yr'!L22</f>
        <v>586547.174</v>
      </c>
      <c r="M22" s="62">
        <f>+'Tuition-4Yr'!M22+'State Appropriations-4Yr'!M22+'Local Appropriations-4Yr'!M22+'Fed Contracts Grnts-4Yr'!M22+'Other Contract Grnts-4Yr'!M22+'Investment Income-4Yr'!M22+'All Other E&amp;G-4Yr'!M22</f>
        <v>609006.13600000006</v>
      </c>
      <c r="N22" s="62">
        <f>+'Tuition-4Yr'!N22+'State Appropriations-4Yr'!N22+'Local Appropriations-4Yr'!N22+'Fed Contracts Grnts-4Yr'!N22+'Other Contract Grnts-4Yr'!N22+'Investment Income-4Yr'!N22+'All Other E&amp;G-4Yr'!N22</f>
        <v>648522.02100000007</v>
      </c>
      <c r="O22" s="62">
        <f>+'Tuition-4Yr'!O22+'State Appropriations-4Yr'!O22+'Local Appropriations-4Yr'!O22+'Fed Contracts Grnts-4Yr'!O22+'Other Contract Grnts-4Yr'!O22+'Investment Income-4Yr'!O22+'All Other E&amp;G-4Yr'!O22</f>
        <v>672088.25170000002</v>
      </c>
      <c r="P22" s="62">
        <f>+'Tuition-4Yr'!P22+'State Appropriations-4Yr'!P22+'Local Appropriations-4Yr'!P22+'Fed Contracts Grnts-4Yr'!P22+'Other Contract Grnts-4Yr'!P22+'Investment Income-4Yr'!P22+'All Other E&amp;G-4Yr'!P22</f>
        <v>0</v>
      </c>
      <c r="Q22" s="62">
        <f>+'Tuition-4Yr'!Q22+'State Appropriations-4Yr'!Q22+'Local Appropriations-4Yr'!Q22+'Fed Contracts Grnts-4Yr'!Q22+'Other Contract Grnts-4Yr'!Q22+'Investment Income-4Yr'!Q22+'All Other E&amp;G-4Yr'!Q22</f>
        <v>0</v>
      </c>
      <c r="R22" s="62">
        <f>+'Tuition-4Yr'!R22+'State Appropriations-4Yr'!R22+'Local Appropriations-4Yr'!R22+'Fed Contracts Grnts-4Yr'!R22+'Other Contract Grnts-4Yr'!R22+'Investment Income-4Yr'!R22+'All Other E&amp;G-4Yr'!R22</f>
        <v>769700.04099999997</v>
      </c>
      <c r="S22" s="62">
        <f>+'Tuition-4Yr'!S22+'State Appropriations-4Yr'!S22+'Local Appropriations-4Yr'!S22+'Fed Contracts Grnts-4Yr'!S22+'Other Contract Grnts-4Yr'!S22+'Investment Income-4Yr'!S22+'All Other E&amp;G-4Yr'!S22</f>
        <v>834571.99800000014</v>
      </c>
      <c r="T22" s="62">
        <f>+'Tuition-4Yr'!T22+'State Appropriations-4Yr'!T22+'Local Appropriations-4Yr'!T22+'Fed Contracts Grnts-4Yr'!T22+'Other Contract Grnts-4Yr'!T22+'Investment Income-4Yr'!T22+'All Other E&amp;G-4Yr'!T22</f>
        <v>940098.31099999999</v>
      </c>
      <c r="U22" s="62">
        <f>+'Tuition-4Yr'!U22+'State Appropriations-4Yr'!U22+'Local Appropriations-4Yr'!U22+'Fed Contracts Grnts-4Yr'!U22+'Other Contract Grnts-4Yr'!U22+'Investment Income-4Yr'!U22+'All Other E&amp;G-4Yr'!U22</f>
        <v>910607.28700000001</v>
      </c>
      <c r="V22" s="62">
        <f>+'Tuition-4Yr'!V22+'State Appropriations-4Yr'!V22+'Local Appropriations-4Yr'!V22+'Fed Contracts Grnts-4Yr'!V22+'Other Contract Grnts-4Yr'!V22+'Investment Income-4Yr'!V22+'All Other E&amp;G-4Yr'!V22</f>
        <v>934651.32300000009</v>
      </c>
      <c r="W22" s="62">
        <f>+'Tuition-4Yr'!W22+'State Appropriations-4Yr'!W22+'Local Appropriations-4Yr'!W22+'Fed Contracts Grnts-4Yr'!W22+'Other Contract Grnts-4Yr'!W22+'Investment Income-4Yr'!W22+'All Other E&amp;G-4Yr'!W22</f>
        <v>1047578.2259999999</v>
      </c>
      <c r="X22" s="62">
        <f>+'Tuition-4Yr'!X22+'State Appropriations-4Yr'!X22+'Local Appropriations-4Yr'!X22+'Fed Contracts Grnts-4Yr'!X22+'Other Contract Grnts-4Yr'!X22+'Investment Income-4Yr'!X22+'All Other E&amp;G-4Yr'!X22</f>
        <v>1076767.9239999999</v>
      </c>
      <c r="Y22" s="62">
        <f>+'Tuition-4Yr'!Y22+'State Appropriations-4Yr'!Y22+'Local Appropriations-4Yr'!Y22+'Fed Contracts Grnts-4Yr'!Y22+'Other Contract Grnts-4Yr'!Y22+'Investment Income-4Yr'!Y22+'All Other E&amp;G-4Yr'!Y22</f>
        <v>1136384.3319999999</v>
      </c>
      <c r="Z22" s="62">
        <f>+'Tuition-4Yr'!Z22+'State Appropriations-4Yr'!Z22+'Local Appropriations-4Yr'!Z22+'Fed Contracts Grnts-4Yr'!Z22+'Other Contract Grnts-4Yr'!Z22+'Investment Income-4Yr'!Z22+'All Other E&amp;G-4Yr'!Z22</f>
        <v>1198937.1030000001</v>
      </c>
      <c r="AA22" s="62">
        <f>+'Tuition-4Yr'!AA22+'State Appropriations-4Yr'!AA22+'Local Appropriations-4Yr'!AA22+'Fed Contracts Grnts-4Yr'!AA22+'Other Contract Grnts-4Yr'!AA22+'Investment Income-4Yr'!AA22+'All Other E&amp;G-4Yr'!AA22</f>
        <v>1268461.3190000001</v>
      </c>
      <c r="AB22" s="62">
        <f>+'Tuition-4Yr'!AB22+'State Appropriations-4Yr'!AB22+'Local Appropriations-4Yr'!AB22+'Fed Contracts Grnts-4Yr'!AB22+'Other Contract Grnts-4Yr'!AB22+'Investment Income-4Yr'!AB22+'All Other E&amp;G-4Yr'!AB22</f>
        <v>1429649.4640000002</v>
      </c>
      <c r="AC22" s="62">
        <f>+'Tuition-4Yr'!AC22+'State Appropriations-4Yr'!AC22+'Local Appropriations-4Yr'!AC22+'Fed Contracts Grnts-4Yr'!AC22+'Other Contract Grnts-4Yr'!AC22+'Investment Income-4Yr'!AC22+'All Other E&amp;G-4Yr'!AC22</f>
        <v>1469437</v>
      </c>
      <c r="AD22" s="62">
        <f>+'Tuition-4Yr'!AD22+'State Appropriations-4Yr'!AD22+'Local Appropriations-4Yr'!AD22+'Fed Contracts Grnts-4Yr'!AD22+'Other Contract Grnts-4Yr'!AD22+'Investment Income-4Yr'!AD22+'All Other E&amp;G-4Yr'!AD22</f>
        <v>1487663.1530000002</v>
      </c>
      <c r="AE22" s="62">
        <f>+'Tuition-4Yr'!AE22+'State Appropriations-4Yr'!AE22+'Local Appropriations-4Yr'!AE22+'Fed Contracts Grnts-4Yr'!AE22+'Other Contract Grnts-4Yr'!AE22+'Investment Income-4Yr'!AE22+'All Other E&amp;G-4Yr'!AE22</f>
        <v>1487043.1420000002</v>
      </c>
      <c r="AF22" s="62">
        <f>+'Tuition-4Yr'!AF22+'State Appropriations-4Yr'!AF22+'Local Appropriations-4Yr'!AF22+'Fed Contracts Grnts-4Yr'!AF22+'Other Contract Grnts-4Yr'!AF22+'Investment Income-4Yr'!AF22+'All Other E&amp;G-4Yr'!AF22</f>
        <v>1506201.0869999998</v>
      </c>
      <c r="AG22" s="62">
        <f>+'Tuition-4Yr'!AG22+'State Appropriations-4Yr'!AG22+'Local Appropriations-4Yr'!AG22+'Fed Contracts Grnts-4Yr'!AG22+'Other Contract Grnts-4Yr'!AG22+'Investment Income-4Yr'!AG22+'All Other E&amp;G-4Yr'!AG22</f>
        <v>1503817.8270000003</v>
      </c>
      <c r="AH22" s="62">
        <f>+'Tuition-4Yr'!AH22+'State Appropriations-4Yr'!AH22+'Local Appropriations-4Yr'!AH22+'Fed Contracts Grnts-4Yr'!AH22+'Other Contract Grnts-4Yr'!AH22+'Investment Income-4Yr'!AH22+'All Other E&amp;G-4Yr'!AH22</f>
        <v>1533322.2790000003</v>
      </c>
      <c r="AI22" s="62">
        <f>+'Tuition-4Yr'!AI22+'State Appropriations-4Yr'!AI22+'Local Appropriations-4Yr'!AI22+'Fed Contracts Grnts-4Yr'!AI22+'Other Contract Grnts-4Yr'!AI22+'Investment Income-4Yr'!AI22+'All Other E&amp;G-4Yr'!AI22</f>
        <v>1605483.406</v>
      </c>
      <c r="AJ22" s="62">
        <f>+'Tuition-4Yr'!AJ22+'State Appropriations-4Yr'!AJ22+'Local Appropriations-4Yr'!AJ22+'Fed Contracts Grnts-4Yr'!AJ22+'Other Contract Grnts-4Yr'!AJ22+'Investment Income-4Yr'!AJ22+'All Other E&amp;G-4Yr'!AJ22</f>
        <v>0</v>
      </c>
      <c r="AK22" s="62">
        <f>+'Tuition-4Yr'!AK22+'State Appropriations-4Yr'!AK22+'Local Appropriations-4Yr'!AK22+'Fed Contracts Grnts-4Yr'!AK22+'Other Contract Grnts-4Yr'!AK22+'Investment Income-4Yr'!AK22+'All Other E&amp;G-4Yr'!AK22</f>
        <v>1810523.2550000001</v>
      </c>
    </row>
    <row r="23" spans="1:37" ht="12.75" customHeight="1">
      <c r="A23" s="6" t="s">
        <v>37</v>
      </c>
      <c r="B23" s="58">
        <f>+'Tuition-4Yr'!B23+'State Appropriations-4Yr'!B23+'Local Appropriations-4Yr'!B23+'Fed Contracts Grnts-4Yr'!B23+'Other Contract Grnts-4Yr'!B23+'Investment Income-4Yr'!B23+'All Other E&amp;G-4Yr'!B23</f>
        <v>0</v>
      </c>
      <c r="C23" s="58">
        <f>+'Tuition-4Yr'!C23+'State Appropriations-4Yr'!C23+'Local Appropriations-4Yr'!C23+'Fed Contracts Grnts-4Yr'!C23+'Other Contract Grnts-4Yr'!C23+'Investment Income-4Yr'!C23+'All Other E&amp;G-4Yr'!C23</f>
        <v>0</v>
      </c>
      <c r="D23" s="58">
        <f>+'Tuition-4Yr'!D23+'State Appropriations-4Yr'!D23+'Local Appropriations-4Yr'!D23+'Fed Contracts Grnts-4Yr'!D23+'Other Contract Grnts-4Yr'!D23+'Investment Income-4Yr'!D23+'All Other E&amp;G-4Yr'!D23</f>
        <v>0</v>
      </c>
      <c r="E23" s="58">
        <f>+'Tuition-4Yr'!E23+'State Appropriations-4Yr'!E23+'Local Appropriations-4Yr'!E23+'Fed Contracts Grnts-4Yr'!E23+'Other Contract Grnts-4Yr'!E23+'Investment Income-4Yr'!E23+'All Other E&amp;G-4Yr'!E23</f>
        <v>0</v>
      </c>
      <c r="F23" s="58">
        <f>+'Tuition-4Yr'!F23+'State Appropriations-4Yr'!F23+'Local Appropriations-4Yr'!F23+'Fed Contracts Grnts-4Yr'!F23+'Other Contract Grnts-4Yr'!F23+'Investment Income-4Yr'!F23+'All Other E&amp;G-4Yr'!F23</f>
        <v>0</v>
      </c>
      <c r="G23" s="58">
        <f>+'Tuition-4Yr'!G23+'State Appropriations-4Yr'!G23+'Local Appropriations-4Yr'!G23+'Fed Contracts Grnts-4Yr'!G23+'Other Contract Grnts-4Yr'!G23+'Investment Income-4Yr'!G23+'All Other E&amp;G-4Yr'!G23</f>
        <v>0</v>
      </c>
      <c r="H23" s="58">
        <f>+'Tuition-4Yr'!H23+'State Appropriations-4Yr'!H23+'Local Appropriations-4Yr'!H23+'Fed Contracts Grnts-4Yr'!H23+'Other Contract Grnts-4Yr'!H23+'Investment Income-4Yr'!H23+'All Other E&amp;G-4Yr'!H23</f>
        <v>0</v>
      </c>
      <c r="I23" s="58">
        <f>+'Tuition-4Yr'!I23+'State Appropriations-4Yr'!I23+'Local Appropriations-4Yr'!I23+'Fed Contracts Grnts-4Yr'!I23+'Other Contract Grnts-4Yr'!I23+'Investment Income-4Yr'!I23+'All Other E&amp;G-4Yr'!I23</f>
        <v>0</v>
      </c>
      <c r="J23" s="58">
        <f>+'Tuition-4Yr'!J23+'State Appropriations-4Yr'!J23+'Local Appropriations-4Yr'!J23+'Fed Contracts Grnts-4Yr'!J23+'Other Contract Grnts-4Yr'!J23+'Investment Income-4Yr'!J23+'All Other E&amp;G-4Yr'!J23</f>
        <v>14990987.945000002</v>
      </c>
      <c r="K23" s="58">
        <f>+'Tuition-4Yr'!K23+'State Appropriations-4Yr'!K23+'Local Appropriations-4Yr'!K23+'Fed Contracts Grnts-4Yr'!K23+'Other Contract Grnts-4Yr'!K23+'Investment Income-4Yr'!K23+'All Other E&amp;G-4Yr'!K23</f>
        <v>0</v>
      </c>
      <c r="L23" s="58">
        <f>+'Tuition-4Yr'!L23+'State Appropriations-4Yr'!L23+'Local Appropriations-4Yr'!L23+'Fed Contracts Grnts-4Yr'!L23+'Other Contract Grnts-4Yr'!L23+'Investment Income-4Yr'!L23+'All Other E&amp;G-4Yr'!L23</f>
        <v>0</v>
      </c>
      <c r="M23" s="58">
        <f>+'Tuition-4Yr'!M23+'State Appropriations-4Yr'!M23+'Local Appropriations-4Yr'!M23+'Fed Contracts Grnts-4Yr'!M23+'Other Contract Grnts-4Yr'!M23+'Investment Income-4Yr'!M23+'All Other E&amp;G-4Yr'!M23</f>
        <v>16923985.539999995</v>
      </c>
      <c r="N23" s="58">
        <f>+'Tuition-4Yr'!N23+'State Appropriations-4Yr'!N23+'Local Appropriations-4Yr'!N23+'Fed Contracts Grnts-4Yr'!N23+'Other Contract Grnts-4Yr'!N23+'Investment Income-4Yr'!N23+'All Other E&amp;G-4Yr'!N23</f>
        <v>0</v>
      </c>
      <c r="O23" s="58">
        <f>+'Tuition-4Yr'!O23+'State Appropriations-4Yr'!O23+'Local Appropriations-4Yr'!O23+'Fed Contracts Grnts-4Yr'!O23+'Other Contract Grnts-4Yr'!O23+'Investment Income-4Yr'!O23+'All Other E&amp;G-4Yr'!O23</f>
        <v>19401372.650619999</v>
      </c>
      <c r="P23" s="58">
        <f>+'Tuition-4Yr'!P23+'State Appropriations-4Yr'!P23+'Local Appropriations-4Yr'!P23+'Fed Contracts Grnts-4Yr'!P23+'Other Contract Grnts-4Yr'!P23+'Investment Income-4Yr'!P23+'All Other E&amp;G-4Yr'!P23</f>
        <v>0</v>
      </c>
      <c r="Q23" s="58">
        <f>+'Tuition-4Yr'!Q23+'State Appropriations-4Yr'!Q23+'Local Appropriations-4Yr'!Q23+'Fed Contracts Grnts-4Yr'!Q23+'Other Contract Grnts-4Yr'!Q23+'Investment Income-4Yr'!Q23+'All Other E&amp;G-4Yr'!Q23</f>
        <v>0</v>
      </c>
      <c r="R23" s="58">
        <f>+'Tuition-4Yr'!R23+'State Appropriations-4Yr'!R23+'Local Appropriations-4Yr'!R23+'Fed Contracts Grnts-4Yr'!R23+'Other Contract Grnts-4Yr'!R23+'Investment Income-4Yr'!R23+'All Other E&amp;G-4Yr'!R23</f>
        <v>23826818.857000005</v>
      </c>
      <c r="S23" s="58">
        <f>+'Tuition-4Yr'!S23+'State Appropriations-4Yr'!S23+'Local Appropriations-4Yr'!S23+'Fed Contracts Grnts-4Yr'!S23+'Other Contract Grnts-4Yr'!S23+'Investment Income-4Yr'!S23+'All Other E&amp;G-4Yr'!S23</f>
        <v>25617203.285999998</v>
      </c>
      <c r="T23" s="58">
        <f>+'Tuition-4Yr'!T23+'State Appropriations-4Yr'!T23+'Local Appropriations-4Yr'!T23+'Fed Contracts Grnts-4Yr'!T23+'Other Contract Grnts-4Yr'!T23+'Investment Income-4Yr'!T23+'All Other E&amp;G-4Yr'!T23</f>
        <v>26641036.616999999</v>
      </c>
      <c r="U23" s="58">
        <f>+'Tuition-4Yr'!U23+'State Appropriations-4Yr'!U23+'Local Appropriations-4Yr'!U23+'Fed Contracts Grnts-4Yr'!U23+'Other Contract Grnts-4Yr'!U23+'Investment Income-4Yr'!U23+'All Other E&amp;G-4Yr'!U23</f>
        <v>27508356.150000002</v>
      </c>
      <c r="V23" s="58">
        <f>+'Tuition-4Yr'!V23+'State Appropriations-4Yr'!V23+'Local Appropriations-4Yr'!V23+'Fed Contracts Grnts-4Yr'!V23+'Other Contract Grnts-4Yr'!V23+'Investment Income-4Yr'!V23+'All Other E&amp;G-4Yr'!V23</f>
        <v>28481346.228999998</v>
      </c>
      <c r="W23" s="58">
        <f>+'Tuition-4Yr'!W23+'State Appropriations-4Yr'!W23+'Local Appropriations-4Yr'!W23+'Fed Contracts Grnts-4Yr'!W23+'Other Contract Grnts-4Yr'!W23+'Investment Income-4Yr'!W23+'All Other E&amp;G-4Yr'!W23</f>
        <v>32338621.011000004</v>
      </c>
      <c r="X23" s="58">
        <f>+'Tuition-4Yr'!X23+'State Appropriations-4Yr'!X23+'Local Appropriations-4Yr'!X23+'Fed Contracts Grnts-4Yr'!X23+'Other Contract Grnts-4Yr'!X23+'Investment Income-4Yr'!X23+'All Other E&amp;G-4Yr'!X23</f>
        <v>32484085.051999997</v>
      </c>
      <c r="Y23" s="58">
        <f>+'Tuition-4Yr'!Y23+'State Appropriations-4Yr'!Y23+'Local Appropriations-4Yr'!Y23+'Fed Contracts Grnts-4Yr'!Y23+'Other Contract Grnts-4Yr'!Y23+'Investment Income-4Yr'!Y23+'All Other E&amp;G-4Yr'!Y23</f>
        <v>35741592.902999997</v>
      </c>
      <c r="Z23" s="58">
        <f>+'Tuition-4Yr'!Z23+'State Appropriations-4Yr'!Z23+'Local Appropriations-4Yr'!Z23+'Fed Contracts Grnts-4Yr'!Z23+'Other Contract Grnts-4Yr'!Z23+'Investment Income-4Yr'!Z23+'All Other E&amp;G-4Yr'!Z23</f>
        <v>37689152.217</v>
      </c>
      <c r="AA23" s="58">
        <f>+'Tuition-4Yr'!AA23+'State Appropriations-4Yr'!AA23+'Local Appropriations-4Yr'!AA23+'Fed Contracts Grnts-4Yr'!AA23+'Other Contract Grnts-4Yr'!AA23+'Investment Income-4Yr'!AA23+'All Other E&amp;G-4Yr'!AA23</f>
        <v>36104103.116999999</v>
      </c>
      <c r="AB23" s="58">
        <f>+'Tuition-4Yr'!AB23+'State Appropriations-4Yr'!AB23+'Local Appropriations-4Yr'!AB23+'Fed Contracts Grnts-4Yr'!AB23+'Other Contract Grnts-4Yr'!AB23+'Investment Income-4Yr'!AB23+'All Other E&amp;G-4Yr'!AB23</f>
        <v>43595241.226000004</v>
      </c>
      <c r="AC23" s="58">
        <f>+'Tuition-4Yr'!AC23+'State Appropriations-4Yr'!AC23+'Local Appropriations-4Yr'!AC23+'Fed Contracts Grnts-4Yr'!AC23+'Other Contract Grnts-4Yr'!AC23+'Investment Income-4Yr'!AC23+'All Other E&amp;G-4Yr'!AC23</f>
        <v>47469458</v>
      </c>
      <c r="AD23" s="58">
        <f>+'Tuition-4Yr'!AD23+'State Appropriations-4Yr'!AD23+'Local Appropriations-4Yr'!AD23+'Fed Contracts Grnts-4Yr'!AD23+'Other Contract Grnts-4Yr'!AD23+'Investment Income-4Yr'!AD23+'All Other E&amp;G-4Yr'!AD23</f>
        <v>47873471.768999994</v>
      </c>
      <c r="AE23" s="58">
        <f>+'Tuition-4Yr'!AE23+'State Appropriations-4Yr'!AE23+'Local Appropriations-4Yr'!AE23+'Fed Contracts Grnts-4Yr'!AE23+'Other Contract Grnts-4Yr'!AE23+'Investment Income-4Yr'!AE23+'All Other E&amp;G-4Yr'!AE23</f>
        <v>49550129.243999995</v>
      </c>
      <c r="AF23" s="58">
        <f>+'Tuition-4Yr'!AF23+'State Appropriations-4Yr'!AF23+'Local Appropriations-4Yr'!AF23+'Fed Contracts Grnts-4Yr'!AF23+'Other Contract Grnts-4Yr'!AF23+'Investment Income-4Yr'!AF23+'All Other E&amp;G-4Yr'!AF23</f>
        <v>49112505.724999994</v>
      </c>
      <c r="AG23" s="58">
        <f>+'Tuition-4Yr'!AG23+'State Appropriations-4Yr'!AG23+'Local Appropriations-4Yr'!AG23+'Fed Contracts Grnts-4Yr'!AG23+'Other Contract Grnts-4Yr'!AG23+'Investment Income-4Yr'!AG23+'All Other E&amp;G-4Yr'!AG23</f>
        <v>55244935.440000005</v>
      </c>
      <c r="AH23" s="58">
        <f>+'Tuition-4Yr'!AH23+'State Appropriations-4Yr'!AH23+'Local Appropriations-4Yr'!AH23+'Fed Contracts Grnts-4Yr'!AH23+'Other Contract Grnts-4Yr'!AH23+'Investment Income-4Yr'!AH23+'All Other E&amp;G-4Yr'!AH23</f>
        <v>57805029.538999997</v>
      </c>
      <c r="AI23" s="58">
        <f>+'Tuition-4Yr'!AI23+'State Appropriations-4Yr'!AI23+'Local Appropriations-4Yr'!AI23+'Fed Contracts Grnts-4Yr'!AI23+'Other Contract Grnts-4Yr'!AI23+'Investment Income-4Yr'!AI23+'All Other E&amp;G-4Yr'!AI23</f>
        <v>60378636.906000011</v>
      </c>
      <c r="AJ23" s="58">
        <f>+'Tuition-4Yr'!AJ23+'State Appropriations-4Yr'!AJ23+'Local Appropriations-4Yr'!AJ23+'Fed Contracts Grnts-4Yr'!AJ23+'Other Contract Grnts-4Yr'!AJ23+'Investment Income-4Yr'!AJ23+'All Other E&amp;G-4Yr'!AJ23</f>
        <v>0</v>
      </c>
      <c r="AK23" s="58">
        <f>+'Tuition-4Yr'!AK23+'State Appropriations-4Yr'!AK23+'Local Appropriations-4Yr'!AK23+'Fed Contracts Grnts-4Yr'!AK23+'Other Contract Grnts-4Yr'!AK23+'Investment Income-4Yr'!AK23+'All Other E&amp;G-4Yr'!AK23</f>
        <v>70991153.434000015</v>
      </c>
    </row>
    <row r="24" spans="1:37" ht="12.75" customHeight="1">
      <c r="A24" s="6" t="s">
        <v>94</v>
      </c>
      <c r="B24" s="58">
        <f>+'Tuition-4Yr'!B24+'State Appropriations-4Yr'!B24+'Local Appropriations-4Yr'!B24+'Fed Contracts Grnts-4Yr'!B24+'Other Contract Grnts-4Yr'!B24+'Investment Income-4Yr'!B24+'All Other E&amp;G-4Yr'!B24</f>
        <v>0</v>
      </c>
      <c r="C24" s="58">
        <f>+'Tuition-4Yr'!C24+'State Appropriations-4Yr'!C24+'Local Appropriations-4Yr'!C24+'Fed Contracts Grnts-4Yr'!C24+'Other Contract Grnts-4Yr'!C24+'Investment Income-4Yr'!C24+'All Other E&amp;G-4Yr'!C24</f>
        <v>0</v>
      </c>
      <c r="D24" s="58">
        <f>+'Tuition-4Yr'!D24+'State Appropriations-4Yr'!D24+'Local Appropriations-4Yr'!D24+'Fed Contracts Grnts-4Yr'!D24+'Other Contract Grnts-4Yr'!D24+'Investment Income-4Yr'!D24+'All Other E&amp;G-4Yr'!D24</f>
        <v>0</v>
      </c>
      <c r="E24" s="58">
        <f>+'Tuition-4Yr'!E24+'State Appropriations-4Yr'!E24+'Local Appropriations-4Yr'!E24+'Fed Contracts Grnts-4Yr'!E24+'Other Contract Grnts-4Yr'!E24+'Investment Income-4Yr'!E24+'All Other E&amp;G-4Yr'!E24</f>
        <v>0</v>
      </c>
      <c r="F24" s="58">
        <f>+'Tuition-4Yr'!F24+'State Appropriations-4Yr'!F24+'Local Appropriations-4Yr'!F24+'Fed Contracts Grnts-4Yr'!F24+'Other Contract Grnts-4Yr'!F24+'Investment Income-4Yr'!F24+'All Other E&amp;G-4Yr'!F24</f>
        <v>0</v>
      </c>
      <c r="G24" s="58">
        <f>+'Tuition-4Yr'!G24+'State Appropriations-4Yr'!G24+'Local Appropriations-4Yr'!G24+'Fed Contracts Grnts-4Yr'!G24+'Other Contract Grnts-4Yr'!G24+'Investment Income-4Yr'!G24+'All Other E&amp;G-4Yr'!G24</f>
        <v>0</v>
      </c>
      <c r="H24" s="58">
        <f>+'Tuition-4Yr'!H24+'State Appropriations-4Yr'!H24+'Local Appropriations-4Yr'!H24+'Fed Contracts Grnts-4Yr'!H24+'Other Contract Grnts-4Yr'!H24+'Investment Income-4Yr'!H24+'All Other E&amp;G-4Yr'!H24</f>
        <v>0</v>
      </c>
      <c r="I24" s="58">
        <f>+'Tuition-4Yr'!I24+'State Appropriations-4Yr'!I24+'Local Appropriations-4Yr'!I24+'Fed Contracts Grnts-4Yr'!I24+'Other Contract Grnts-4Yr'!I24+'Investment Income-4Yr'!I24+'All Other E&amp;G-4Yr'!I24</f>
        <v>0</v>
      </c>
      <c r="J24" s="58">
        <f>+'Tuition-4Yr'!J24+'State Appropriations-4Yr'!J24+'Local Appropriations-4Yr'!J24+'Fed Contracts Grnts-4Yr'!J24+'Other Contract Grnts-4Yr'!J24+'Investment Income-4Yr'!J24+'All Other E&amp;G-4Yr'!J24</f>
        <v>0</v>
      </c>
      <c r="K24" s="58">
        <f>+'Tuition-4Yr'!K24+'State Appropriations-4Yr'!K24+'Local Appropriations-4Yr'!K24+'Fed Contracts Grnts-4Yr'!K24+'Other Contract Grnts-4Yr'!K24+'Investment Income-4Yr'!K24+'All Other E&amp;G-4Yr'!K24</f>
        <v>0</v>
      </c>
      <c r="L24" s="58">
        <f>+'Tuition-4Yr'!L24+'State Appropriations-4Yr'!L24+'Local Appropriations-4Yr'!L24+'Fed Contracts Grnts-4Yr'!L24+'Other Contract Grnts-4Yr'!L24+'Investment Income-4Yr'!L24+'All Other E&amp;G-4Yr'!L24</f>
        <v>0</v>
      </c>
      <c r="M24" s="58">
        <f>+'Tuition-4Yr'!M24+'State Appropriations-4Yr'!M24+'Local Appropriations-4Yr'!M24+'Fed Contracts Grnts-4Yr'!M24+'Other Contract Grnts-4Yr'!M24+'Investment Income-4Yr'!M24+'All Other E&amp;G-4Yr'!M24</f>
        <v>0</v>
      </c>
      <c r="N24" s="58">
        <f>+'Tuition-4Yr'!N24+'State Appropriations-4Yr'!N24+'Local Appropriations-4Yr'!N24+'Fed Contracts Grnts-4Yr'!N24+'Other Contract Grnts-4Yr'!N24+'Investment Income-4Yr'!N24+'All Other E&amp;G-4Yr'!N24</f>
        <v>0</v>
      </c>
      <c r="O24" s="58">
        <f>+'Tuition-4Yr'!O24+'State Appropriations-4Yr'!O24+'Local Appropriations-4Yr'!O24+'Fed Contracts Grnts-4Yr'!O24+'Other Contract Grnts-4Yr'!O24+'Investment Income-4Yr'!O24+'All Other E&amp;G-4Yr'!O24</f>
        <v>0</v>
      </c>
      <c r="P24" s="58">
        <f>+'Tuition-4Yr'!P24+'State Appropriations-4Yr'!P24+'Local Appropriations-4Yr'!P24+'Fed Contracts Grnts-4Yr'!P24+'Other Contract Grnts-4Yr'!P24+'Investment Income-4Yr'!P24+'All Other E&amp;G-4Yr'!P24</f>
        <v>0</v>
      </c>
      <c r="Q24" s="58">
        <f>+'Tuition-4Yr'!Q24+'State Appropriations-4Yr'!Q24+'Local Appropriations-4Yr'!Q24+'Fed Contracts Grnts-4Yr'!Q24+'Other Contract Grnts-4Yr'!Q24+'Investment Income-4Yr'!Q24+'All Other E&amp;G-4Yr'!Q24</f>
        <v>0</v>
      </c>
      <c r="R24" s="58">
        <f>+'Tuition-4Yr'!R24+'State Appropriations-4Yr'!R24+'Local Appropriations-4Yr'!R24+'Fed Contracts Grnts-4Yr'!R24+'Other Contract Grnts-4Yr'!R24+'Investment Income-4Yr'!R24+'All Other E&amp;G-4Yr'!R24</f>
        <v>0</v>
      </c>
      <c r="S24" s="58">
        <f>+'Tuition-4Yr'!S24+'State Appropriations-4Yr'!S24+'Local Appropriations-4Yr'!S24+'Fed Contracts Grnts-4Yr'!S24+'Other Contract Grnts-4Yr'!S24+'Investment Income-4Yr'!S24+'All Other E&amp;G-4Yr'!S24</f>
        <v>0</v>
      </c>
      <c r="T24" s="58">
        <f>+'Tuition-4Yr'!T24+'State Appropriations-4Yr'!T24+'Local Appropriations-4Yr'!T24+'Fed Contracts Grnts-4Yr'!T24+'Other Contract Grnts-4Yr'!T24+'Investment Income-4Yr'!T24+'All Other E&amp;G-4Yr'!T24</f>
        <v>0</v>
      </c>
      <c r="U24" s="58">
        <f>+'Tuition-4Yr'!U24+'State Appropriations-4Yr'!U24+'Local Appropriations-4Yr'!U24+'Fed Contracts Grnts-4Yr'!U24+'Other Contract Grnts-4Yr'!U24+'Investment Income-4Yr'!U24+'All Other E&amp;G-4Yr'!U24</f>
        <v>0</v>
      </c>
      <c r="V24" s="58">
        <f>+'Tuition-4Yr'!V24+'State Appropriations-4Yr'!V24+'Local Appropriations-4Yr'!V24+'Fed Contracts Grnts-4Yr'!V24+'Other Contract Grnts-4Yr'!V24+'Investment Income-4Yr'!V24+'All Other E&amp;G-4Yr'!V24</f>
        <v>0</v>
      </c>
      <c r="W24" s="58">
        <f>+'Tuition-4Yr'!W24+'State Appropriations-4Yr'!W24+'Local Appropriations-4Yr'!W24+'Fed Contracts Grnts-4Yr'!W24+'Other Contract Grnts-4Yr'!W24+'Investment Income-4Yr'!W24+'All Other E&amp;G-4Yr'!W24</f>
        <v>0</v>
      </c>
      <c r="X24" s="58">
        <f>+'Tuition-4Yr'!X24+'State Appropriations-4Yr'!X24+'Local Appropriations-4Yr'!X24+'Fed Contracts Grnts-4Yr'!X24+'Other Contract Grnts-4Yr'!X24+'Investment Income-4Yr'!X24+'All Other E&amp;G-4Yr'!X24</f>
        <v>0</v>
      </c>
      <c r="Y24" s="58">
        <f>+'Tuition-4Yr'!Y24+'State Appropriations-4Yr'!Y24+'Local Appropriations-4Yr'!Y24+'Fed Contracts Grnts-4Yr'!Y24+'Other Contract Grnts-4Yr'!Y24+'Investment Income-4Yr'!Y24+'All Other E&amp;G-4Yr'!Y24</f>
        <v>0</v>
      </c>
      <c r="Z24" s="58">
        <f>+'Tuition-4Yr'!Z24+'State Appropriations-4Yr'!Z24+'Local Appropriations-4Yr'!Z24+'Fed Contracts Grnts-4Yr'!Z24+'Other Contract Grnts-4Yr'!Z24+'Investment Income-4Yr'!Z24+'All Other E&amp;G-4Yr'!Z24</f>
        <v>0</v>
      </c>
      <c r="AA24" s="58">
        <f>+'Tuition-4Yr'!AA24+'State Appropriations-4Yr'!AA24+'Local Appropriations-4Yr'!AA24+'Fed Contracts Grnts-4Yr'!AA24+'Other Contract Grnts-4Yr'!AA24+'Investment Income-4Yr'!AA24+'All Other E&amp;G-4Yr'!AA24</f>
        <v>0</v>
      </c>
      <c r="AB24" s="58">
        <f>+'Tuition-4Yr'!AB24+'State Appropriations-4Yr'!AB24+'Local Appropriations-4Yr'!AB24+'Fed Contracts Grnts-4Yr'!AB24+'Other Contract Grnts-4Yr'!AB24+'Investment Income-4Yr'!AB24+'All Other E&amp;G-4Yr'!AB24</f>
        <v>0</v>
      </c>
      <c r="AC24" s="58">
        <f>+'Tuition-4Yr'!AC24+'State Appropriations-4Yr'!AC24+'Local Appropriations-4Yr'!AC24+'Fed Contracts Grnts-4Yr'!AC24+'Other Contract Grnts-4Yr'!AC24+'Investment Income-4Yr'!AC24+'All Other E&amp;G-4Yr'!AC24</f>
        <v>0</v>
      </c>
      <c r="AD24" s="58">
        <f>+'Tuition-4Yr'!AD24+'State Appropriations-4Yr'!AD24+'Local Appropriations-4Yr'!AD24+'Fed Contracts Grnts-4Yr'!AD24+'Other Contract Grnts-4Yr'!AD24+'Investment Income-4Yr'!AD24+'All Other E&amp;G-4Yr'!AD24</f>
        <v>0</v>
      </c>
      <c r="AE24" s="58">
        <f>+'Tuition-4Yr'!AE24+'State Appropriations-4Yr'!AE24+'Local Appropriations-4Yr'!AE24+'Fed Contracts Grnts-4Yr'!AE24+'Other Contract Grnts-4Yr'!AE24+'Investment Income-4Yr'!AE24+'All Other E&amp;G-4Yr'!AE24</f>
        <v>0</v>
      </c>
      <c r="AF24" s="58">
        <f>+'Tuition-4Yr'!AF24+'State Appropriations-4Yr'!AF24+'Local Appropriations-4Yr'!AF24+'Fed Contracts Grnts-4Yr'!AF24+'Other Contract Grnts-4Yr'!AF24+'Investment Income-4Yr'!AF24+'All Other E&amp;G-4Yr'!AF24</f>
        <v>0</v>
      </c>
      <c r="AG24" s="58">
        <f>+'Tuition-4Yr'!AG24+'State Appropriations-4Yr'!AG24+'Local Appropriations-4Yr'!AG24+'Fed Contracts Grnts-4Yr'!AG24+'Other Contract Grnts-4Yr'!AG24+'Investment Income-4Yr'!AG24+'All Other E&amp;G-4Yr'!AG24</f>
        <v>0</v>
      </c>
      <c r="AH24" s="58">
        <f>+'Tuition-4Yr'!AH24+'State Appropriations-4Yr'!AH24+'Local Appropriations-4Yr'!AH24+'Fed Contracts Grnts-4Yr'!AH24+'Other Contract Grnts-4Yr'!AH24+'Investment Income-4Yr'!AH24+'All Other E&amp;G-4Yr'!AH24</f>
        <v>0</v>
      </c>
      <c r="AI24" s="58">
        <f>+'Tuition-4Yr'!AI24+'State Appropriations-4Yr'!AI24+'Local Appropriations-4Yr'!AI24+'Fed Contracts Grnts-4Yr'!AI24+'Other Contract Grnts-4Yr'!AI24+'Investment Income-4Yr'!AI24+'All Other E&amp;G-4Yr'!AI24</f>
        <v>0</v>
      </c>
      <c r="AJ24" s="58">
        <f>+'Tuition-4Yr'!AJ24+'State Appropriations-4Yr'!AJ24+'Local Appropriations-4Yr'!AJ24+'Fed Contracts Grnts-4Yr'!AJ24+'Other Contract Grnts-4Yr'!AJ24+'Investment Income-4Yr'!AJ24+'All Other E&amp;G-4Yr'!AJ24</f>
        <v>0</v>
      </c>
      <c r="AK24" s="58">
        <f>+'Tuition-4Yr'!AK24+'State Appropriations-4Yr'!AK24+'Local Appropriations-4Yr'!AK24+'Fed Contracts Grnts-4Yr'!AK24+'Other Contract Grnts-4Yr'!AK24+'Investment Income-4Yr'!AK24+'All Other E&amp;G-4Yr'!AK24</f>
        <v>0</v>
      </c>
    </row>
    <row r="25" spans="1:37" ht="12.75" customHeight="1">
      <c r="A25" s="1" t="s">
        <v>38</v>
      </c>
      <c r="B25" s="58">
        <f>+'Tuition-4Yr'!B25+'State Appropriations-4Yr'!B25+'Local Appropriations-4Yr'!B25+'Fed Contracts Grnts-4Yr'!B25+'Other Contract Grnts-4Yr'!B25+'Investment Income-4Yr'!B25+'All Other E&amp;G-4Yr'!B25</f>
        <v>0</v>
      </c>
      <c r="C25" s="58">
        <f>+'Tuition-4Yr'!C25+'State Appropriations-4Yr'!C25+'Local Appropriations-4Yr'!C25+'Fed Contracts Grnts-4Yr'!C25+'Other Contract Grnts-4Yr'!C25+'Investment Income-4Yr'!C25+'All Other E&amp;G-4Yr'!C25</f>
        <v>0</v>
      </c>
      <c r="D25" s="58">
        <f>+'Tuition-4Yr'!D25+'State Appropriations-4Yr'!D25+'Local Appropriations-4Yr'!D25+'Fed Contracts Grnts-4Yr'!D25+'Other Contract Grnts-4Yr'!D25+'Investment Income-4Yr'!D25+'All Other E&amp;G-4Yr'!D25</f>
        <v>0</v>
      </c>
      <c r="E25" s="58">
        <f>+'Tuition-4Yr'!E25+'State Appropriations-4Yr'!E25+'Local Appropriations-4Yr'!E25+'Fed Contracts Grnts-4Yr'!E25+'Other Contract Grnts-4Yr'!E25+'Investment Income-4Yr'!E25+'All Other E&amp;G-4Yr'!E25</f>
        <v>0</v>
      </c>
      <c r="F25" s="58">
        <f>+'Tuition-4Yr'!F25+'State Appropriations-4Yr'!F25+'Local Appropriations-4Yr'!F25+'Fed Contracts Grnts-4Yr'!F25+'Other Contract Grnts-4Yr'!F25+'Investment Income-4Yr'!F25+'All Other E&amp;G-4Yr'!F25</f>
        <v>0</v>
      </c>
      <c r="G25" s="58">
        <f>+'Tuition-4Yr'!G25+'State Appropriations-4Yr'!G25+'Local Appropriations-4Yr'!G25+'Fed Contracts Grnts-4Yr'!G25+'Other Contract Grnts-4Yr'!G25+'Investment Income-4Yr'!G25+'All Other E&amp;G-4Yr'!G25</f>
        <v>0</v>
      </c>
      <c r="H25" s="58">
        <f>+'Tuition-4Yr'!H25+'State Appropriations-4Yr'!H25+'Local Appropriations-4Yr'!H25+'Fed Contracts Grnts-4Yr'!H25+'Other Contract Grnts-4Yr'!H25+'Investment Income-4Yr'!H25+'All Other E&amp;G-4Yr'!H25</f>
        <v>0</v>
      </c>
      <c r="I25" s="58">
        <f>+'Tuition-4Yr'!I25+'State Appropriations-4Yr'!I25+'Local Appropriations-4Yr'!I25+'Fed Contracts Grnts-4Yr'!I25+'Other Contract Grnts-4Yr'!I25+'Investment Income-4Yr'!I25+'All Other E&amp;G-4Yr'!I25</f>
        <v>0</v>
      </c>
      <c r="J25" s="58">
        <f>+'Tuition-4Yr'!J25+'State Appropriations-4Yr'!J25+'Local Appropriations-4Yr'!J25+'Fed Contracts Grnts-4Yr'!J25+'Other Contract Grnts-4Yr'!J25+'Investment Income-4Yr'!J25+'All Other E&amp;G-4Yr'!J25</f>
        <v>268291.11800000002</v>
      </c>
      <c r="K25" s="58">
        <f>+'Tuition-4Yr'!K25+'State Appropriations-4Yr'!K25+'Local Appropriations-4Yr'!K25+'Fed Contracts Grnts-4Yr'!K25+'Other Contract Grnts-4Yr'!K25+'Investment Income-4Yr'!K25+'All Other E&amp;G-4Yr'!K25</f>
        <v>0</v>
      </c>
      <c r="L25" s="58">
        <f>+'Tuition-4Yr'!L25+'State Appropriations-4Yr'!L25+'Local Appropriations-4Yr'!L25+'Fed Contracts Grnts-4Yr'!L25+'Other Contract Grnts-4Yr'!L25+'Investment Income-4Yr'!L25+'All Other E&amp;G-4Yr'!L25</f>
        <v>0</v>
      </c>
      <c r="M25" s="58">
        <f>+'Tuition-4Yr'!M25+'State Appropriations-4Yr'!M25+'Local Appropriations-4Yr'!M25+'Fed Contracts Grnts-4Yr'!M25+'Other Contract Grnts-4Yr'!M25+'Investment Income-4Yr'!M25+'All Other E&amp;G-4Yr'!M25</f>
        <v>305692.36800000002</v>
      </c>
      <c r="N25" s="58">
        <f>+'Tuition-4Yr'!N25+'State Appropriations-4Yr'!N25+'Local Appropriations-4Yr'!N25+'Fed Contracts Grnts-4Yr'!N25+'Other Contract Grnts-4Yr'!N25+'Investment Income-4Yr'!N25+'All Other E&amp;G-4Yr'!N25</f>
        <v>0</v>
      </c>
      <c r="O25" s="58">
        <f>+'Tuition-4Yr'!O25+'State Appropriations-4Yr'!O25+'Local Appropriations-4Yr'!O25+'Fed Contracts Grnts-4Yr'!O25+'Other Contract Grnts-4Yr'!O25+'Investment Income-4Yr'!O25+'All Other E&amp;G-4Yr'!O25</f>
        <v>321928.26400000002</v>
      </c>
      <c r="P25" s="58">
        <f>+'Tuition-4Yr'!P25+'State Appropriations-4Yr'!P25+'Local Appropriations-4Yr'!P25+'Fed Contracts Grnts-4Yr'!P25+'Other Contract Grnts-4Yr'!P25+'Investment Income-4Yr'!P25+'All Other E&amp;G-4Yr'!P25</f>
        <v>0</v>
      </c>
      <c r="Q25" s="58">
        <f>+'Tuition-4Yr'!Q25+'State Appropriations-4Yr'!Q25+'Local Appropriations-4Yr'!Q25+'Fed Contracts Grnts-4Yr'!Q25+'Other Contract Grnts-4Yr'!Q25+'Investment Income-4Yr'!Q25+'All Other E&amp;G-4Yr'!Q25</f>
        <v>0</v>
      </c>
      <c r="R25" s="58">
        <f>+'Tuition-4Yr'!R25+'State Appropriations-4Yr'!R25+'Local Appropriations-4Yr'!R25+'Fed Contracts Grnts-4Yr'!R25+'Other Contract Grnts-4Yr'!R25+'Investment Income-4Yr'!R25+'All Other E&amp;G-4Yr'!R25</f>
        <v>333861.99500000005</v>
      </c>
      <c r="S25" s="58">
        <f>+'Tuition-4Yr'!S25+'State Appropriations-4Yr'!S25+'Local Appropriations-4Yr'!S25+'Fed Contracts Grnts-4Yr'!S25+'Other Contract Grnts-4Yr'!S25+'Investment Income-4Yr'!S25+'All Other E&amp;G-4Yr'!S25</f>
        <v>366459.30599999998</v>
      </c>
      <c r="T25" s="58">
        <f>+'Tuition-4Yr'!T25+'State Appropriations-4Yr'!T25+'Local Appropriations-4Yr'!T25+'Fed Contracts Grnts-4Yr'!T25+'Other Contract Grnts-4Yr'!T25+'Investment Income-4Yr'!T25+'All Other E&amp;G-4Yr'!T25</f>
        <v>398166.85600000003</v>
      </c>
      <c r="U25" s="58">
        <f>+'Tuition-4Yr'!U25+'State Appropriations-4Yr'!U25+'Local Appropriations-4Yr'!U25+'Fed Contracts Grnts-4Yr'!U25+'Other Contract Grnts-4Yr'!U25+'Investment Income-4Yr'!U25+'All Other E&amp;G-4Yr'!U25</f>
        <v>433328.68900000001</v>
      </c>
      <c r="V25" s="58">
        <f>+'Tuition-4Yr'!V25+'State Appropriations-4Yr'!V25+'Local Appropriations-4Yr'!V25+'Fed Contracts Grnts-4Yr'!V25+'Other Contract Grnts-4Yr'!V25+'Investment Income-4Yr'!V25+'All Other E&amp;G-4Yr'!V25</f>
        <v>458651.1970000001</v>
      </c>
      <c r="W25" s="58">
        <f>+'Tuition-4Yr'!W25+'State Appropriations-4Yr'!W25+'Local Appropriations-4Yr'!W25+'Fed Contracts Grnts-4Yr'!W25+'Other Contract Grnts-4Yr'!W25+'Investment Income-4Yr'!W25+'All Other E&amp;G-4Yr'!W25</f>
        <v>494864.89500000002</v>
      </c>
      <c r="X25" s="58">
        <f>+'Tuition-4Yr'!X25+'State Appropriations-4Yr'!X25+'Local Appropriations-4Yr'!X25+'Fed Contracts Grnts-4Yr'!X25+'Other Contract Grnts-4Yr'!X25+'Investment Income-4Yr'!X25+'All Other E&amp;G-4Yr'!X25</f>
        <v>527062.92700000003</v>
      </c>
      <c r="Y25" s="58">
        <f>+'Tuition-4Yr'!Y25+'State Appropriations-4Yr'!Y25+'Local Appropriations-4Yr'!Y25+'Fed Contracts Grnts-4Yr'!Y25+'Other Contract Grnts-4Yr'!Y25+'Investment Income-4Yr'!Y25+'All Other E&amp;G-4Yr'!Y25</f>
        <v>566316.73199999996</v>
      </c>
      <c r="Z25" s="58">
        <f>+'Tuition-4Yr'!Z25+'State Appropriations-4Yr'!Z25+'Local Appropriations-4Yr'!Z25+'Fed Contracts Grnts-4Yr'!Z25+'Other Contract Grnts-4Yr'!Z25+'Investment Income-4Yr'!Z25+'All Other E&amp;G-4Yr'!Z25</f>
        <v>608670.01600000006</v>
      </c>
      <c r="AA25" s="58">
        <f>+'Tuition-4Yr'!AA25+'State Appropriations-4Yr'!AA25+'Local Appropriations-4Yr'!AA25+'Fed Contracts Grnts-4Yr'!AA25+'Other Contract Grnts-4Yr'!AA25+'Investment Income-4Yr'!AA25+'All Other E&amp;G-4Yr'!AA25</f>
        <v>636794.57899999991</v>
      </c>
      <c r="AB25" s="58">
        <f>+'Tuition-4Yr'!AB25+'State Appropriations-4Yr'!AB25+'Local Appropriations-4Yr'!AB25+'Fed Contracts Grnts-4Yr'!AB25+'Other Contract Grnts-4Yr'!AB25+'Investment Income-4Yr'!AB25+'All Other E&amp;G-4Yr'!AB25</f>
        <v>660912.30700000003</v>
      </c>
      <c r="AC25" s="58">
        <f>+'Tuition-4Yr'!AC25+'State Appropriations-4Yr'!AC25+'Local Appropriations-4Yr'!AC25+'Fed Contracts Grnts-4Yr'!AC25+'Other Contract Grnts-4Yr'!AC25+'Investment Income-4Yr'!AC25+'All Other E&amp;G-4Yr'!AC25</f>
        <v>704220</v>
      </c>
      <c r="AD25" s="58">
        <f>+'Tuition-4Yr'!AD25+'State Appropriations-4Yr'!AD25+'Local Appropriations-4Yr'!AD25+'Fed Contracts Grnts-4Yr'!AD25+'Other Contract Grnts-4Yr'!AD25+'Investment Income-4Yr'!AD25+'All Other E&amp;G-4Yr'!AD25</f>
        <v>711259.62800000003</v>
      </c>
      <c r="AE25" s="58">
        <f>+'Tuition-4Yr'!AE25+'State Appropriations-4Yr'!AE25+'Local Appropriations-4Yr'!AE25+'Fed Contracts Grnts-4Yr'!AE25+'Other Contract Grnts-4Yr'!AE25+'Investment Income-4Yr'!AE25+'All Other E&amp;G-4Yr'!AE25</f>
        <v>760764.10699999996</v>
      </c>
      <c r="AF25" s="58">
        <f>+'Tuition-4Yr'!AF25+'State Appropriations-4Yr'!AF25+'Local Appropriations-4Yr'!AF25+'Fed Contracts Grnts-4Yr'!AF25+'Other Contract Grnts-4Yr'!AF25+'Investment Income-4Yr'!AF25+'All Other E&amp;G-4Yr'!AF25</f>
        <v>738487.55300000007</v>
      </c>
      <c r="AG25" s="58">
        <f>+'Tuition-4Yr'!AG25+'State Appropriations-4Yr'!AG25+'Local Appropriations-4Yr'!AG25+'Fed Contracts Grnts-4Yr'!AG25+'Other Contract Grnts-4Yr'!AG25+'Investment Income-4Yr'!AG25+'All Other E&amp;G-4Yr'!AG25</f>
        <v>742127.89700000011</v>
      </c>
      <c r="AH25" s="58">
        <f>+'Tuition-4Yr'!AH25+'State Appropriations-4Yr'!AH25+'Local Appropriations-4Yr'!AH25+'Fed Contracts Grnts-4Yr'!AH25+'Other Contract Grnts-4Yr'!AH25+'Investment Income-4Yr'!AH25+'All Other E&amp;G-4Yr'!AH25</f>
        <v>728430.696</v>
      </c>
      <c r="AI25" s="58">
        <f>+'Tuition-4Yr'!AI25+'State Appropriations-4Yr'!AI25+'Local Appropriations-4Yr'!AI25+'Fed Contracts Grnts-4Yr'!AI25+'Other Contract Grnts-4Yr'!AI25+'Investment Income-4Yr'!AI25+'All Other E&amp;G-4Yr'!AI25</f>
        <v>701656.31700000004</v>
      </c>
      <c r="AJ25" s="58">
        <f>+'Tuition-4Yr'!AJ25+'State Appropriations-4Yr'!AJ25+'Local Appropriations-4Yr'!AJ25+'Fed Contracts Grnts-4Yr'!AJ25+'Other Contract Grnts-4Yr'!AJ25+'Investment Income-4Yr'!AJ25+'All Other E&amp;G-4Yr'!AJ25</f>
        <v>0</v>
      </c>
      <c r="AK25" s="58">
        <f>+'Tuition-4Yr'!AK25+'State Appropriations-4Yr'!AK25+'Local Appropriations-4Yr'!AK25+'Fed Contracts Grnts-4Yr'!AK25+'Other Contract Grnts-4Yr'!AK25+'Investment Income-4Yr'!AK25+'All Other E&amp;G-4Yr'!AK25</f>
        <v>736062.80700000003</v>
      </c>
    </row>
    <row r="26" spans="1:37" ht="12.75" customHeight="1">
      <c r="A26" s="1" t="s">
        <v>39</v>
      </c>
      <c r="B26" s="58">
        <f>+'Tuition-4Yr'!B26+'State Appropriations-4Yr'!B26+'Local Appropriations-4Yr'!B26+'Fed Contracts Grnts-4Yr'!B26+'Other Contract Grnts-4Yr'!B26+'Investment Income-4Yr'!B26+'All Other E&amp;G-4Yr'!B26</f>
        <v>0</v>
      </c>
      <c r="C26" s="58">
        <f>+'Tuition-4Yr'!C26+'State Appropriations-4Yr'!C26+'Local Appropriations-4Yr'!C26+'Fed Contracts Grnts-4Yr'!C26+'Other Contract Grnts-4Yr'!C26+'Investment Income-4Yr'!C26+'All Other E&amp;G-4Yr'!C26</f>
        <v>0</v>
      </c>
      <c r="D26" s="58">
        <f>+'Tuition-4Yr'!D26+'State Appropriations-4Yr'!D26+'Local Appropriations-4Yr'!D26+'Fed Contracts Grnts-4Yr'!D26+'Other Contract Grnts-4Yr'!D26+'Investment Income-4Yr'!D26+'All Other E&amp;G-4Yr'!D26</f>
        <v>0</v>
      </c>
      <c r="E26" s="58">
        <f>+'Tuition-4Yr'!E26+'State Appropriations-4Yr'!E26+'Local Appropriations-4Yr'!E26+'Fed Contracts Grnts-4Yr'!E26+'Other Contract Grnts-4Yr'!E26+'Investment Income-4Yr'!E26+'All Other E&amp;G-4Yr'!E26</f>
        <v>0</v>
      </c>
      <c r="F26" s="58">
        <f>+'Tuition-4Yr'!F26+'State Appropriations-4Yr'!F26+'Local Appropriations-4Yr'!F26+'Fed Contracts Grnts-4Yr'!F26+'Other Contract Grnts-4Yr'!F26+'Investment Income-4Yr'!F26+'All Other E&amp;G-4Yr'!F26</f>
        <v>0</v>
      </c>
      <c r="G26" s="58">
        <f>+'Tuition-4Yr'!G26+'State Appropriations-4Yr'!G26+'Local Appropriations-4Yr'!G26+'Fed Contracts Grnts-4Yr'!G26+'Other Contract Grnts-4Yr'!G26+'Investment Income-4Yr'!G26+'All Other E&amp;G-4Yr'!G26</f>
        <v>0</v>
      </c>
      <c r="H26" s="58">
        <f>+'Tuition-4Yr'!H26+'State Appropriations-4Yr'!H26+'Local Appropriations-4Yr'!H26+'Fed Contracts Grnts-4Yr'!H26+'Other Contract Grnts-4Yr'!H26+'Investment Income-4Yr'!H26+'All Other E&amp;G-4Yr'!H26</f>
        <v>0</v>
      </c>
      <c r="I26" s="58">
        <f>+'Tuition-4Yr'!I26+'State Appropriations-4Yr'!I26+'Local Appropriations-4Yr'!I26+'Fed Contracts Grnts-4Yr'!I26+'Other Contract Grnts-4Yr'!I26+'Investment Income-4Yr'!I26+'All Other E&amp;G-4Yr'!I26</f>
        <v>0</v>
      </c>
      <c r="J26" s="58">
        <f>+'Tuition-4Yr'!J26+'State Appropriations-4Yr'!J26+'Local Appropriations-4Yr'!J26+'Fed Contracts Grnts-4Yr'!J26+'Other Contract Grnts-4Yr'!J26+'Investment Income-4Yr'!J26+'All Other E&amp;G-4Yr'!J26</f>
        <v>1139162.0050000001</v>
      </c>
      <c r="K26" s="58">
        <f>+'Tuition-4Yr'!K26+'State Appropriations-4Yr'!K26+'Local Appropriations-4Yr'!K26+'Fed Contracts Grnts-4Yr'!K26+'Other Contract Grnts-4Yr'!K26+'Investment Income-4Yr'!K26+'All Other E&amp;G-4Yr'!K26</f>
        <v>0</v>
      </c>
      <c r="L26" s="58">
        <f>+'Tuition-4Yr'!L26+'State Appropriations-4Yr'!L26+'Local Appropriations-4Yr'!L26+'Fed Contracts Grnts-4Yr'!L26+'Other Contract Grnts-4Yr'!L26+'Investment Income-4Yr'!L26+'All Other E&amp;G-4Yr'!L26</f>
        <v>0</v>
      </c>
      <c r="M26" s="58">
        <f>+'Tuition-4Yr'!M26+'State Appropriations-4Yr'!M26+'Local Appropriations-4Yr'!M26+'Fed Contracts Grnts-4Yr'!M26+'Other Contract Grnts-4Yr'!M26+'Investment Income-4Yr'!M26+'All Other E&amp;G-4Yr'!M26</f>
        <v>1348026.449</v>
      </c>
      <c r="N26" s="58">
        <f>+'Tuition-4Yr'!N26+'State Appropriations-4Yr'!N26+'Local Appropriations-4Yr'!N26+'Fed Contracts Grnts-4Yr'!N26+'Other Contract Grnts-4Yr'!N26+'Investment Income-4Yr'!N26+'All Other E&amp;G-4Yr'!N26</f>
        <v>0</v>
      </c>
      <c r="O26" s="58">
        <f>+'Tuition-4Yr'!O26+'State Appropriations-4Yr'!O26+'Local Appropriations-4Yr'!O26+'Fed Contracts Grnts-4Yr'!O26+'Other Contract Grnts-4Yr'!O26+'Investment Income-4Yr'!O26+'All Other E&amp;G-4Yr'!O26</f>
        <v>1454724.3160000001</v>
      </c>
      <c r="P26" s="58">
        <f>+'Tuition-4Yr'!P26+'State Appropriations-4Yr'!P26+'Local Appropriations-4Yr'!P26+'Fed Contracts Grnts-4Yr'!P26+'Other Contract Grnts-4Yr'!P26+'Investment Income-4Yr'!P26+'All Other E&amp;G-4Yr'!P26</f>
        <v>0</v>
      </c>
      <c r="Q26" s="58">
        <f>+'Tuition-4Yr'!Q26+'State Appropriations-4Yr'!Q26+'Local Appropriations-4Yr'!Q26+'Fed Contracts Grnts-4Yr'!Q26+'Other Contract Grnts-4Yr'!Q26+'Investment Income-4Yr'!Q26+'All Other E&amp;G-4Yr'!Q26</f>
        <v>0</v>
      </c>
      <c r="R26" s="58">
        <f>+'Tuition-4Yr'!R26+'State Appropriations-4Yr'!R26+'Local Appropriations-4Yr'!R26+'Fed Contracts Grnts-4Yr'!R26+'Other Contract Grnts-4Yr'!R26+'Investment Income-4Yr'!R26+'All Other E&amp;G-4Yr'!R26</f>
        <v>1758353.1099999999</v>
      </c>
      <c r="S26" s="58">
        <f>+'Tuition-4Yr'!S26+'State Appropriations-4Yr'!S26+'Local Appropriations-4Yr'!S26+'Fed Contracts Grnts-4Yr'!S26+'Other Contract Grnts-4Yr'!S26+'Investment Income-4Yr'!S26+'All Other E&amp;G-4Yr'!S26</f>
        <v>1859336.2929999998</v>
      </c>
      <c r="T26" s="58">
        <f>+'Tuition-4Yr'!T26+'State Appropriations-4Yr'!T26+'Local Appropriations-4Yr'!T26+'Fed Contracts Grnts-4Yr'!T26+'Other Contract Grnts-4Yr'!T26+'Investment Income-4Yr'!T26+'All Other E&amp;G-4Yr'!T26</f>
        <v>1926069.9219999998</v>
      </c>
      <c r="U26" s="58">
        <f>+'Tuition-4Yr'!U26+'State Appropriations-4Yr'!U26+'Local Appropriations-4Yr'!U26+'Fed Contracts Grnts-4Yr'!U26+'Other Contract Grnts-4Yr'!U26+'Investment Income-4Yr'!U26+'All Other E&amp;G-4Yr'!U26</f>
        <v>1947886.2860000001</v>
      </c>
      <c r="V26" s="58">
        <f>+'Tuition-4Yr'!V26+'State Appropriations-4Yr'!V26+'Local Appropriations-4Yr'!V26+'Fed Contracts Grnts-4Yr'!V26+'Other Contract Grnts-4Yr'!V26+'Investment Income-4Yr'!V26+'All Other E&amp;G-4Yr'!V26</f>
        <v>2117044.156</v>
      </c>
      <c r="W26" s="58">
        <f>+'Tuition-4Yr'!W26+'State Appropriations-4Yr'!W26+'Local Appropriations-4Yr'!W26+'Fed Contracts Grnts-4Yr'!W26+'Other Contract Grnts-4Yr'!W26+'Investment Income-4Yr'!W26+'All Other E&amp;G-4Yr'!W26</f>
        <v>2441309.5420000004</v>
      </c>
      <c r="X26" s="58">
        <f>+'Tuition-4Yr'!X26+'State Appropriations-4Yr'!X26+'Local Appropriations-4Yr'!X26+'Fed Contracts Grnts-4Yr'!X26+'Other Contract Grnts-4Yr'!X26+'Investment Income-4Yr'!X26+'All Other E&amp;G-4Yr'!X26</f>
        <v>2487325.2009999999</v>
      </c>
      <c r="Y26" s="58">
        <f>+'Tuition-4Yr'!Y26+'State Appropriations-4Yr'!Y26+'Local Appropriations-4Yr'!Y26+'Fed Contracts Grnts-4Yr'!Y26+'Other Contract Grnts-4Yr'!Y26+'Investment Income-4Yr'!Y26+'All Other E&amp;G-4Yr'!Y26</f>
        <v>2767062.855</v>
      </c>
      <c r="Z26" s="58">
        <f>+'Tuition-4Yr'!Z26+'State Appropriations-4Yr'!Z26+'Local Appropriations-4Yr'!Z26+'Fed Contracts Grnts-4Yr'!Z26+'Other Contract Grnts-4Yr'!Z26+'Investment Income-4Yr'!Z26+'All Other E&amp;G-4Yr'!Z26</f>
        <v>2928341.878</v>
      </c>
      <c r="AA26" s="58">
        <f>+'Tuition-4Yr'!AA26+'State Appropriations-4Yr'!AA26+'Local Appropriations-4Yr'!AA26+'Fed Contracts Grnts-4Yr'!AA26+'Other Contract Grnts-4Yr'!AA26+'Investment Income-4Yr'!AA26+'All Other E&amp;G-4Yr'!AA26</f>
        <v>3260822.1159999999</v>
      </c>
      <c r="AB26" s="58">
        <f>+'Tuition-4Yr'!AB26+'State Appropriations-4Yr'!AB26+'Local Appropriations-4Yr'!AB26+'Fed Contracts Grnts-4Yr'!AB26+'Other Contract Grnts-4Yr'!AB26+'Investment Income-4Yr'!AB26+'All Other E&amp;G-4Yr'!AB26</f>
        <v>3530070.0649999995</v>
      </c>
      <c r="AC26" s="58">
        <f>+'Tuition-4Yr'!AC26+'State Appropriations-4Yr'!AC26+'Local Appropriations-4Yr'!AC26+'Fed Contracts Grnts-4Yr'!AC26+'Other Contract Grnts-4Yr'!AC26+'Investment Income-4Yr'!AC26+'All Other E&amp;G-4Yr'!AC26</f>
        <v>3790204</v>
      </c>
      <c r="AD26" s="58">
        <f>+'Tuition-4Yr'!AD26+'State Appropriations-4Yr'!AD26+'Local Appropriations-4Yr'!AD26+'Fed Contracts Grnts-4Yr'!AD26+'Other Contract Grnts-4Yr'!AD26+'Investment Income-4Yr'!AD26+'All Other E&amp;G-4Yr'!AD26</f>
        <v>3883312.8879999998</v>
      </c>
      <c r="AE26" s="58">
        <f>+'Tuition-4Yr'!AE26+'State Appropriations-4Yr'!AE26+'Local Appropriations-4Yr'!AE26+'Fed Contracts Grnts-4Yr'!AE26+'Other Contract Grnts-4Yr'!AE26+'Investment Income-4Yr'!AE26+'All Other E&amp;G-4Yr'!AE26</f>
        <v>4087951.9720000001</v>
      </c>
      <c r="AF26" s="58">
        <f>+'Tuition-4Yr'!AF26+'State Appropriations-4Yr'!AF26+'Local Appropriations-4Yr'!AF26+'Fed Contracts Grnts-4Yr'!AF26+'Other Contract Grnts-4Yr'!AF26+'Investment Income-4Yr'!AF26+'All Other E&amp;G-4Yr'!AF26</f>
        <v>4197195.87</v>
      </c>
      <c r="AG26" s="58">
        <f>+'Tuition-4Yr'!AG26+'State Appropriations-4Yr'!AG26+'Local Appropriations-4Yr'!AG26+'Fed Contracts Grnts-4Yr'!AG26+'Other Contract Grnts-4Yr'!AG26+'Investment Income-4Yr'!AG26+'All Other E&amp;G-4Yr'!AG26</f>
        <v>4732558.8720000004</v>
      </c>
      <c r="AH26" s="58">
        <f>+'Tuition-4Yr'!AH26+'State Appropriations-4Yr'!AH26+'Local Appropriations-4Yr'!AH26+'Fed Contracts Grnts-4Yr'!AH26+'Other Contract Grnts-4Yr'!AH26+'Investment Income-4Yr'!AH26+'All Other E&amp;G-4Yr'!AH26</f>
        <v>4989915.7110000001</v>
      </c>
      <c r="AI26" s="58">
        <f>+'Tuition-4Yr'!AI26+'State Appropriations-4Yr'!AI26+'Local Appropriations-4Yr'!AI26+'Fed Contracts Grnts-4Yr'!AI26+'Other Contract Grnts-4Yr'!AI26+'Investment Income-4Yr'!AI26+'All Other E&amp;G-4Yr'!AI26</f>
        <v>5267755.8450000007</v>
      </c>
      <c r="AJ26" s="58">
        <f>+'Tuition-4Yr'!AJ26+'State Appropriations-4Yr'!AJ26+'Local Appropriations-4Yr'!AJ26+'Fed Contracts Grnts-4Yr'!AJ26+'Other Contract Grnts-4Yr'!AJ26+'Investment Income-4Yr'!AJ26+'All Other E&amp;G-4Yr'!AJ26</f>
        <v>0</v>
      </c>
      <c r="AK26" s="58">
        <f>+'Tuition-4Yr'!AK26+'State Appropriations-4Yr'!AK26+'Local Appropriations-4Yr'!AK26+'Fed Contracts Grnts-4Yr'!AK26+'Other Contract Grnts-4Yr'!AK26+'Investment Income-4Yr'!AK26+'All Other E&amp;G-4Yr'!AK26</f>
        <v>6205960.8169999998</v>
      </c>
    </row>
    <row r="27" spans="1:37" ht="12.75" customHeight="1">
      <c r="A27" s="1" t="s">
        <v>40</v>
      </c>
      <c r="B27" s="58">
        <f>+'Tuition-4Yr'!B27+'State Appropriations-4Yr'!B27+'Local Appropriations-4Yr'!B27+'Fed Contracts Grnts-4Yr'!B27+'Other Contract Grnts-4Yr'!B27+'Investment Income-4Yr'!B27+'All Other E&amp;G-4Yr'!B27</f>
        <v>0</v>
      </c>
      <c r="C27" s="58">
        <f>+'Tuition-4Yr'!C27+'State Appropriations-4Yr'!C27+'Local Appropriations-4Yr'!C27+'Fed Contracts Grnts-4Yr'!C27+'Other Contract Grnts-4Yr'!C27+'Investment Income-4Yr'!C27+'All Other E&amp;G-4Yr'!C27</f>
        <v>0</v>
      </c>
      <c r="D27" s="58">
        <f>+'Tuition-4Yr'!D27+'State Appropriations-4Yr'!D27+'Local Appropriations-4Yr'!D27+'Fed Contracts Grnts-4Yr'!D27+'Other Contract Grnts-4Yr'!D27+'Investment Income-4Yr'!D27+'All Other E&amp;G-4Yr'!D27</f>
        <v>0</v>
      </c>
      <c r="E27" s="58">
        <f>+'Tuition-4Yr'!E27+'State Appropriations-4Yr'!E27+'Local Appropriations-4Yr'!E27+'Fed Contracts Grnts-4Yr'!E27+'Other Contract Grnts-4Yr'!E27+'Investment Income-4Yr'!E27+'All Other E&amp;G-4Yr'!E27</f>
        <v>0</v>
      </c>
      <c r="F27" s="58">
        <f>+'Tuition-4Yr'!F27+'State Appropriations-4Yr'!F27+'Local Appropriations-4Yr'!F27+'Fed Contracts Grnts-4Yr'!F27+'Other Contract Grnts-4Yr'!F27+'Investment Income-4Yr'!F27+'All Other E&amp;G-4Yr'!F27</f>
        <v>0</v>
      </c>
      <c r="G27" s="58">
        <f>+'Tuition-4Yr'!G27+'State Appropriations-4Yr'!G27+'Local Appropriations-4Yr'!G27+'Fed Contracts Grnts-4Yr'!G27+'Other Contract Grnts-4Yr'!G27+'Investment Income-4Yr'!G27+'All Other E&amp;G-4Yr'!G27</f>
        <v>0</v>
      </c>
      <c r="H27" s="58">
        <f>+'Tuition-4Yr'!H27+'State Appropriations-4Yr'!H27+'Local Appropriations-4Yr'!H27+'Fed Contracts Grnts-4Yr'!H27+'Other Contract Grnts-4Yr'!H27+'Investment Income-4Yr'!H27+'All Other E&amp;G-4Yr'!H27</f>
        <v>0</v>
      </c>
      <c r="I27" s="58">
        <f>+'Tuition-4Yr'!I27+'State Appropriations-4Yr'!I27+'Local Appropriations-4Yr'!I27+'Fed Contracts Grnts-4Yr'!I27+'Other Contract Grnts-4Yr'!I27+'Investment Income-4Yr'!I27+'All Other E&amp;G-4Yr'!I27</f>
        <v>0</v>
      </c>
      <c r="J27" s="58">
        <f>+'Tuition-4Yr'!J27+'State Appropriations-4Yr'!J27+'Local Appropriations-4Yr'!J27+'Fed Contracts Grnts-4Yr'!J27+'Other Contract Grnts-4Yr'!J27+'Investment Income-4Yr'!J27+'All Other E&amp;G-4Yr'!J27</f>
        <v>7176053.9850000003</v>
      </c>
      <c r="K27" s="58">
        <f>+'Tuition-4Yr'!K27+'State Appropriations-4Yr'!K27+'Local Appropriations-4Yr'!K27+'Fed Contracts Grnts-4Yr'!K27+'Other Contract Grnts-4Yr'!K27+'Investment Income-4Yr'!K27+'All Other E&amp;G-4Yr'!K27</f>
        <v>0</v>
      </c>
      <c r="L27" s="58">
        <f>+'Tuition-4Yr'!L27+'State Appropriations-4Yr'!L27+'Local Appropriations-4Yr'!L27+'Fed Contracts Grnts-4Yr'!L27+'Other Contract Grnts-4Yr'!L27+'Investment Income-4Yr'!L27+'All Other E&amp;G-4Yr'!L27</f>
        <v>0</v>
      </c>
      <c r="M27" s="58">
        <f>+'Tuition-4Yr'!M27+'State Appropriations-4Yr'!M27+'Local Appropriations-4Yr'!M27+'Fed Contracts Grnts-4Yr'!M27+'Other Contract Grnts-4Yr'!M27+'Investment Income-4Yr'!M27+'All Other E&amp;G-4Yr'!M27</f>
        <v>7836576.6790000005</v>
      </c>
      <c r="N27" s="58">
        <f>+'Tuition-4Yr'!N27+'State Appropriations-4Yr'!N27+'Local Appropriations-4Yr'!N27+'Fed Contracts Grnts-4Yr'!N27+'Other Contract Grnts-4Yr'!N27+'Investment Income-4Yr'!N27+'All Other E&amp;G-4Yr'!N27</f>
        <v>0</v>
      </c>
      <c r="O27" s="58">
        <f>+'Tuition-4Yr'!O27+'State Appropriations-4Yr'!O27+'Local Appropriations-4Yr'!O27+'Fed Contracts Grnts-4Yr'!O27+'Other Contract Grnts-4Yr'!O27+'Investment Income-4Yr'!O27+'All Other E&amp;G-4Yr'!O27</f>
        <v>9311294</v>
      </c>
      <c r="P27" s="58">
        <f>+'Tuition-4Yr'!P27+'State Appropriations-4Yr'!P27+'Local Appropriations-4Yr'!P27+'Fed Contracts Grnts-4Yr'!P27+'Other Contract Grnts-4Yr'!P27+'Investment Income-4Yr'!P27+'All Other E&amp;G-4Yr'!P27</f>
        <v>0</v>
      </c>
      <c r="Q27" s="58">
        <f>+'Tuition-4Yr'!Q27+'State Appropriations-4Yr'!Q27+'Local Appropriations-4Yr'!Q27+'Fed Contracts Grnts-4Yr'!Q27+'Other Contract Grnts-4Yr'!Q27+'Investment Income-4Yr'!Q27+'All Other E&amp;G-4Yr'!Q27</f>
        <v>0</v>
      </c>
      <c r="R27" s="58">
        <f>+'Tuition-4Yr'!R27+'State Appropriations-4Yr'!R27+'Local Appropriations-4Yr'!R27+'Fed Contracts Grnts-4Yr'!R27+'Other Contract Grnts-4Yr'!R27+'Investment Income-4Yr'!R27+'All Other E&amp;G-4Yr'!R27</f>
        <v>11676145.779999999</v>
      </c>
      <c r="S27" s="58">
        <f>+'Tuition-4Yr'!S27+'State Appropriations-4Yr'!S27+'Local Appropriations-4Yr'!S27+'Fed Contracts Grnts-4Yr'!S27+'Other Contract Grnts-4Yr'!S27+'Investment Income-4Yr'!S27+'All Other E&amp;G-4Yr'!S27</f>
        <v>12586190.295000002</v>
      </c>
      <c r="T27" s="58">
        <f>+'Tuition-4Yr'!T27+'State Appropriations-4Yr'!T27+'Local Appropriations-4Yr'!T27+'Fed Contracts Grnts-4Yr'!T27+'Other Contract Grnts-4Yr'!T27+'Investment Income-4Yr'!T27+'All Other E&amp;G-4Yr'!T27</f>
        <v>12393017.449000001</v>
      </c>
      <c r="U27" s="58">
        <f>+'Tuition-4Yr'!U27+'State Appropriations-4Yr'!U27+'Local Appropriations-4Yr'!U27+'Fed Contracts Grnts-4Yr'!U27+'Other Contract Grnts-4Yr'!U27+'Investment Income-4Yr'!U27+'All Other E&amp;G-4Yr'!U27</f>
        <v>12724716.711999999</v>
      </c>
      <c r="V27" s="58">
        <f>+'Tuition-4Yr'!V27+'State Appropriations-4Yr'!V27+'Local Appropriations-4Yr'!V27+'Fed Contracts Grnts-4Yr'!V27+'Other Contract Grnts-4Yr'!V27+'Investment Income-4Yr'!V27+'All Other E&amp;G-4Yr'!V27</f>
        <v>13335664.460999999</v>
      </c>
      <c r="W27" s="58">
        <f>+'Tuition-4Yr'!W27+'State Appropriations-4Yr'!W27+'Local Appropriations-4Yr'!W27+'Fed Contracts Grnts-4Yr'!W27+'Other Contract Grnts-4Yr'!W27+'Investment Income-4Yr'!W27+'All Other E&amp;G-4Yr'!W27</f>
        <v>14401821.647</v>
      </c>
      <c r="X27" s="58">
        <f>+'Tuition-4Yr'!X27+'State Appropriations-4Yr'!X27+'Local Appropriations-4Yr'!X27+'Fed Contracts Grnts-4Yr'!X27+'Other Contract Grnts-4Yr'!X27+'Investment Income-4Yr'!X27+'All Other E&amp;G-4Yr'!X27</f>
        <v>14503730.699000001</v>
      </c>
      <c r="Y27" s="58">
        <f>+'Tuition-4Yr'!Y27+'State Appropriations-4Yr'!Y27+'Local Appropriations-4Yr'!Y27+'Fed Contracts Grnts-4Yr'!Y27+'Other Contract Grnts-4Yr'!Y27+'Investment Income-4Yr'!Y27+'All Other E&amp;G-4Yr'!Y27</f>
        <v>15962848.52</v>
      </c>
      <c r="Z27" s="58">
        <f>+'Tuition-4Yr'!Z27+'State Appropriations-4Yr'!Z27+'Local Appropriations-4Yr'!Z27+'Fed Contracts Grnts-4Yr'!Z27+'Other Contract Grnts-4Yr'!Z27+'Investment Income-4Yr'!Z27+'All Other E&amp;G-4Yr'!Z27</f>
        <v>17985737.438999999</v>
      </c>
      <c r="AA27" s="58">
        <f>+'Tuition-4Yr'!AA27+'State Appropriations-4Yr'!AA27+'Local Appropriations-4Yr'!AA27+'Fed Contracts Grnts-4Yr'!AA27+'Other Contract Grnts-4Yr'!AA27+'Investment Income-4Yr'!AA27+'All Other E&amp;G-4Yr'!AA27</f>
        <v>16894682.603</v>
      </c>
      <c r="AB27" s="58">
        <f>+'Tuition-4Yr'!AB27+'State Appropriations-4Yr'!AB27+'Local Appropriations-4Yr'!AB27+'Fed Contracts Grnts-4Yr'!AB27+'Other Contract Grnts-4Yr'!AB27+'Investment Income-4Yr'!AB27+'All Other E&amp;G-4Yr'!AB27</f>
        <v>20796378.644000001</v>
      </c>
      <c r="AC27" s="58">
        <f>+'Tuition-4Yr'!AC27+'State Appropriations-4Yr'!AC27+'Local Appropriations-4Yr'!AC27+'Fed Contracts Grnts-4Yr'!AC27+'Other Contract Grnts-4Yr'!AC27+'Investment Income-4Yr'!AC27+'All Other E&amp;G-4Yr'!AC27</f>
        <v>22872378</v>
      </c>
      <c r="AD27" s="58">
        <f>+'Tuition-4Yr'!AD27+'State Appropriations-4Yr'!AD27+'Local Appropriations-4Yr'!AD27+'Fed Contracts Grnts-4Yr'!AD27+'Other Contract Grnts-4Yr'!AD27+'Investment Income-4Yr'!AD27+'All Other E&amp;G-4Yr'!AD27</f>
        <v>23639261.844000001</v>
      </c>
      <c r="AE27" s="58">
        <f>+'Tuition-4Yr'!AE27+'State Appropriations-4Yr'!AE27+'Local Appropriations-4Yr'!AE27+'Fed Contracts Grnts-4Yr'!AE27+'Other Contract Grnts-4Yr'!AE27+'Investment Income-4Yr'!AE27+'All Other E&amp;G-4Yr'!AE27</f>
        <v>23847267.041000001</v>
      </c>
      <c r="AF27" s="58">
        <f>+'Tuition-4Yr'!AF27+'State Appropriations-4Yr'!AF27+'Local Appropriations-4Yr'!AF27+'Fed Contracts Grnts-4Yr'!AF27+'Other Contract Grnts-4Yr'!AF27+'Investment Income-4Yr'!AF27+'All Other E&amp;G-4Yr'!AF27</f>
        <v>23199517.417999998</v>
      </c>
      <c r="AG27" s="58">
        <f>+'Tuition-4Yr'!AG27+'State Appropriations-4Yr'!AG27+'Local Appropriations-4Yr'!AG27+'Fed Contracts Grnts-4Yr'!AG27+'Other Contract Grnts-4Yr'!AG27+'Investment Income-4Yr'!AG27+'All Other E&amp;G-4Yr'!AG27</f>
        <v>27146332.923999995</v>
      </c>
      <c r="AH27" s="58">
        <f>+'Tuition-4Yr'!AH27+'State Appropriations-4Yr'!AH27+'Local Appropriations-4Yr'!AH27+'Fed Contracts Grnts-4Yr'!AH27+'Other Contract Grnts-4Yr'!AH27+'Investment Income-4Yr'!AH27+'All Other E&amp;G-4Yr'!AH27</f>
        <v>28395537.447999995</v>
      </c>
      <c r="AI27" s="58">
        <f>+'Tuition-4Yr'!AI27+'State Appropriations-4Yr'!AI27+'Local Appropriations-4Yr'!AI27+'Fed Contracts Grnts-4Yr'!AI27+'Other Contract Grnts-4Yr'!AI27+'Investment Income-4Yr'!AI27+'All Other E&amp;G-4Yr'!AI27</f>
        <v>29589267.877000004</v>
      </c>
      <c r="AJ27" s="58">
        <f>+'Tuition-4Yr'!AJ27+'State Appropriations-4Yr'!AJ27+'Local Appropriations-4Yr'!AJ27+'Fed Contracts Grnts-4Yr'!AJ27+'Other Contract Grnts-4Yr'!AJ27+'Investment Income-4Yr'!AJ27+'All Other E&amp;G-4Yr'!AJ27</f>
        <v>0</v>
      </c>
      <c r="AK27" s="58">
        <f>+'Tuition-4Yr'!AK27+'State Appropriations-4Yr'!AK27+'Local Appropriations-4Yr'!AK27+'Fed Contracts Grnts-4Yr'!AK27+'Other Contract Grnts-4Yr'!AK27+'Investment Income-4Yr'!AK27+'All Other E&amp;G-4Yr'!AK27</f>
        <v>36056484.068999998</v>
      </c>
    </row>
    <row r="28" spans="1:37" ht="12.75" customHeight="1">
      <c r="A28" s="1" t="s">
        <v>41</v>
      </c>
      <c r="B28" s="58">
        <f>+'Tuition-4Yr'!B28+'State Appropriations-4Yr'!B28+'Local Appropriations-4Yr'!B28+'Fed Contracts Grnts-4Yr'!B28+'Other Contract Grnts-4Yr'!B28+'Investment Income-4Yr'!B28+'All Other E&amp;G-4Yr'!B28</f>
        <v>0</v>
      </c>
      <c r="C28" s="58">
        <f>+'Tuition-4Yr'!C28+'State Appropriations-4Yr'!C28+'Local Appropriations-4Yr'!C28+'Fed Contracts Grnts-4Yr'!C28+'Other Contract Grnts-4Yr'!C28+'Investment Income-4Yr'!C28+'All Other E&amp;G-4Yr'!C28</f>
        <v>0</v>
      </c>
      <c r="D28" s="58">
        <f>+'Tuition-4Yr'!D28+'State Appropriations-4Yr'!D28+'Local Appropriations-4Yr'!D28+'Fed Contracts Grnts-4Yr'!D28+'Other Contract Grnts-4Yr'!D28+'Investment Income-4Yr'!D28+'All Other E&amp;G-4Yr'!D28</f>
        <v>0</v>
      </c>
      <c r="E28" s="58">
        <f>+'Tuition-4Yr'!E28+'State Appropriations-4Yr'!E28+'Local Appropriations-4Yr'!E28+'Fed Contracts Grnts-4Yr'!E28+'Other Contract Grnts-4Yr'!E28+'Investment Income-4Yr'!E28+'All Other E&amp;G-4Yr'!E28</f>
        <v>0</v>
      </c>
      <c r="F28" s="58">
        <f>+'Tuition-4Yr'!F28+'State Appropriations-4Yr'!F28+'Local Appropriations-4Yr'!F28+'Fed Contracts Grnts-4Yr'!F28+'Other Contract Grnts-4Yr'!F28+'Investment Income-4Yr'!F28+'All Other E&amp;G-4Yr'!F28</f>
        <v>0</v>
      </c>
      <c r="G28" s="58">
        <f>+'Tuition-4Yr'!G28+'State Appropriations-4Yr'!G28+'Local Appropriations-4Yr'!G28+'Fed Contracts Grnts-4Yr'!G28+'Other Contract Grnts-4Yr'!G28+'Investment Income-4Yr'!G28+'All Other E&amp;G-4Yr'!G28</f>
        <v>0</v>
      </c>
      <c r="H28" s="58">
        <f>+'Tuition-4Yr'!H28+'State Appropriations-4Yr'!H28+'Local Appropriations-4Yr'!H28+'Fed Contracts Grnts-4Yr'!H28+'Other Contract Grnts-4Yr'!H28+'Investment Income-4Yr'!H28+'All Other E&amp;G-4Yr'!H28</f>
        <v>0</v>
      </c>
      <c r="I28" s="58">
        <f>+'Tuition-4Yr'!I28+'State Appropriations-4Yr'!I28+'Local Appropriations-4Yr'!I28+'Fed Contracts Grnts-4Yr'!I28+'Other Contract Grnts-4Yr'!I28+'Investment Income-4Yr'!I28+'All Other E&amp;G-4Yr'!I28</f>
        <v>0</v>
      </c>
      <c r="J28" s="58">
        <f>+'Tuition-4Yr'!J28+'State Appropriations-4Yr'!J28+'Local Appropriations-4Yr'!J28+'Fed Contracts Grnts-4Yr'!J28+'Other Contract Grnts-4Yr'!J28+'Investment Income-4Yr'!J28+'All Other E&amp;G-4Yr'!J28</f>
        <v>1233543.2990000001</v>
      </c>
      <c r="K28" s="58">
        <f>+'Tuition-4Yr'!K28+'State Appropriations-4Yr'!K28+'Local Appropriations-4Yr'!K28+'Fed Contracts Grnts-4Yr'!K28+'Other Contract Grnts-4Yr'!K28+'Investment Income-4Yr'!K28+'All Other E&amp;G-4Yr'!K28</f>
        <v>0</v>
      </c>
      <c r="L28" s="58">
        <f>+'Tuition-4Yr'!L28+'State Appropriations-4Yr'!L28+'Local Appropriations-4Yr'!L28+'Fed Contracts Grnts-4Yr'!L28+'Other Contract Grnts-4Yr'!L28+'Investment Income-4Yr'!L28+'All Other E&amp;G-4Yr'!L28</f>
        <v>0</v>
      </c>
      <c r="M28" s="58">
        <f>+'Tuition-4Yr'!M28+'State Appropriations-4Yr'!M28+'Local Appropriations-4Yr'!M28+'Fed Contracts Grnts-4Yr'!M28+'Other Contract Grnts-4Yr'!M28+'Investment Income-4Yr'!M28+'All Other E&amp;G-4Yr'!M28</f>
        <v>1444862.929</v>
      </c>
      <c r="N28" s="58">
        <f>+'Tuition-4Yr'!N28+'State Appropriations-4Yr'!N28+'Local Appropriations-4Yr'!N28+'Fed Contracts Grnts-4Yr'!N28+'Other Contract Grnts-4Yr'!N28+'Investment Income-4Yr'!N28+'All Other E&amp;G-4Yr'!N28</f>
        <v>0</v>
      </c>
      <c r="O28" s="58">
        <f>+'Tuition-4Yr'!O28+'State Appropriations-4Yr'!O28+'Local Appropriations-4Yr'!O28+'Fed Contracts Grnts-4Yr'!O28+'Other Contract Grnts-4Yr'!O28+'Investment Income-4Yr'!O28+'All Other E&amp;G-4Yr'!O28</f>
        <v>1616892.6903000001</v>
      </c>
      <c r="P28" s="58">
        <f>+'Tuition-4Yr'!P28+'State Appropriations-4Yr'!P28+'Local Appropriations-4Yr'!P28+'Fed Contracts Grnts-4Yr'!P28+'Other Contract Grnts-4Yr'!P28+'Investment Income-4Yr'!P28+'All Other E&amp;G-4Yr'!P28</f>
        <v>0</v>
      </c>
      <c r="Q28" s="58">
        <f>+'Tuition-4Yr'!Q28+'State Appropriations-4Yr'!Q28+'Local Appropriations-4Yr'!Q28+'Fed Contracts Grnts-4Yr'!Q28+'Other Contract Grnts-4Yr'!Q28+'Investment Income-4Yr'!Q28+'All Other E&amp;G-4Yr'!Q28</f>
        <v>0</v>
      </c>
      <c r="R28" s="58">
        <f>+'Tuition-4Yr'!R28+'State Appropriations-4Yr'!R28+'Local Appropriations-4Yr'!R28+'Fed Contracts Grnts-4Yr'!R28+'Other Contract Grnts-4Yr'!R28+'Investment Income-4Yr'!R28+'All Other E&amp;G-4Yr'!R28</f>
        <v>1982340.92</v>
      </c>
      <c r="S28" s="58">
        <f>+'Tuition-4Yr'!S28+'State Appropriations-4Yr'!S28+'Local Appropriations-4Yr'!S28+'Fed Contracts Grnts-4Yr'!S28+'Other Contract Grnts-4Yr'!S28+'Investment Income-4Yr'!S28+'All Other E&amp;G-4Yr'!S28</f>
        <v>2153815.7560000001</v>
      </c>
      <c r="T28" s="58">
        <f>+'Tuition-4Yr'!T28+'State Appropriations-4Yr'!T28+'Local Appropriations-4Yr'!T28+'Fed Contracts Grnts-4Yr'!T28+'Other Contract Grnts-4Yr'!T28+'Investment Income-4Yr'!T28+'All Other E&amp;G-4Yr'!T28</f>
        <v>2216153.605</v>
      </c>
      <c r="U28" s="58">
        <f>+'Tuition-4Yr'!U28+'State Appropriations-4Yr'!U28+'Local Appropriations-4Yr'!U28+'Fed Contracts Grnts-4Yr'!U28+'Other Contract Grnts-4Yr'!U28+'Investment Income-4Yr'!U28+'All Other E&amp;G-4Yr'!U28</f>
        <v>2144763.0130000003</v>
      </c>
      <c r="V28" s="58">
        <f>+'Tuition-4Yr'!V28+'State Appropriations-4Yr'!V28+'Local Appropriations-4Yr'!V28+'Fed Contracts Grnts-4Yr'!V28+'Other Contract Grnts-4Yr'!V28+'Investment Income-4Yr'!V28+'All Other E&amp;G-4Yr'!V28</f>
        <v>1789474.1770000001</v>
      </c>
      <c r="W28" s="58">
        <f>+'Tuition-4Yr'!W28+'State Appropriations-4Yr'!W28+'Local Appropriations-4Yr'!W28+'Fed Contracts Grnts-4Yr'!W28+'Other Contract Grnts-4Yr'!W28+'Investment Income-4Yr'!W28+'All Other E&amp;G-4Yr'!W28</f>
        <v>2911344.1150000002</v>
      </c>
      <c r="X28" s="58">
        <f>+'Tuition-4Yr'!X28+'State Appropriations-4Yr'!X28+'Local Appropriations-4Yr'!X28+'Fed Contracts Grnts-4Yr'!X28+'Other Contract Grnts-4Yr'!X28+'Investment Income-4Yr'!X28+'All Other E&amp;G-4Yr'!X28</f>
        <v>2480118.2949999999</v>
      </c>
      <c r="Y28" s="58">
        <f>+'Tuition-4Yr'!Y28+'State Appropriations-4Yr'!Y28+'Local Appropriations-4Yr'!Y28+'Fed Contracts Grnts-4Yr'!Y28+'Other Contract Grnts-4Yr'!Y28+'Investment Income-4Yr'!Y28+'All Other E&amp;G-4Yr'!Y28</f>
        <v>2646646.3759999997</v>
      </c>
      <c r="Z28" s="58">
        <f>+'Tuition-4Yr'!Z28+'State Appropriations-4Yr'!Z28+'Local Appropriations-4Yr'!Z28+'Fed Contracts Grnts-4Yr'!Z28+'Other Contract Grnts-4Yr'!Z28+'Investment Income-4Yr'!Z28+'All Other E&amp;G-4Yr'!Z28</f>
        <v>2852672.2080000001</v>
      </c>
      <c r="AA28" s="58">
        <f>+'Tuition-4Yr'!AA28+'State Appropriations-4Yr'!AA28+'Local Appropriations-4Yr'!AA28+'Fed Contracts Grnts-4Yr'!AA28+'Other Contract Grnts-4Yr'!AA28+'Investment Income-4Yr'!AA28+'All Other E&amp;G-4Yr'!AA28</f>
        <v>3203984.344</v>
      </c>
      <c r="AB28" s="58">
        <f>+'Tuition-4Yr'!AB28+'State Appropriations-4Yr'!AB28+'Local Appropriations-4Yr'!AB28+'Fed Contracts Grnts-4Yr'!AB28+'Other Contract Grnts-4Yr'!AB28+'Investment Income-4Yr'!AB28+'All Other E&amp;G-4Yr'!AB28</f>
        <v>3617455.8539999998</v>
      </c>
      <c r="AC28" s="58">
        <f>+'Tuition-4Yr'!AC28+'State Appropriations-4Yr'!AC28+'Local Appropriations-4Yr'!AC28+'Fed Contracts Grnts-4Yr'!AC28+'Other Contract Grnts-4Yr'!AC28+'Investment Income-4Yr'!AC28+'All Other E&amp;G-4Yr'!AC28</f>
        <v>3847283</v>
      </c>
      <c r="AD28" s="58">
        <f>+'Tuition-4Yr'!AD28+'State Appropriations-4Yr'!AD28+'Local Appropriations-4Yr'!AD28+'Fed Contracts Grnts-4Yr'!AD28+'Other Contract Grnts-4Yr'!AD28+'Investment Income-4Yr'!AD28+'All Other E&amp;G-4Yr'!AD28</f>
        <v>3989517.9010000001</v>
      </c>
      <c r="AE28" s="58">
        <f>+'Tuition-4Yr'!AE28+'State Appropriations-4Yr'!AE28+'Local Appropriations-4Yr'!AE28+'Fed Contracts Grnts-4Yr'!AE28+'Other Contract Grnts-4Yr'!AE28+'Investment Income-4Yr'!AE28+'All Other E&amp;G-4Yr'!AE28</f>
        <v>4016865.8260000004</v>
      </c>
      <c r="AF28" s="58">
        <f>+'Tuition-4Yr'!AF28+'State Appropriations-4Yr'!AF28+'Local Appropriations-4Yr'!AF28+'Fed Contracts Grnts-4Yr'!AF28+'Other Contract Grnts-4Yr'!AF28+'Investment Income-4Yr'!AF28+'All Other E&amp;G-4Yr'!AF28</f>
        <v>4038400.6529999999</v>
      </c>
      <c r="AG28" s="58">
        <f>+'Tuition-4Yr'!AG28+'State Appropriations-4Yr'!AG28+'Local Appropriations-4Yr'!AG28+'Fed Contracts Grnts-4Yr'!AG28+'Other Contract Grnts-4Yr'!AG28+'Investment Income-4Yr'!AG28+'All Other E&amp;G-4Yr'!AG28</f>
        <v>4511932.8379999995</v>
      </c>
      <c r="AH28" s="58">
        <f>+'Tuition-4Yr'!AH28+'State Appropriations-4Yr'!AH28+'Local Appropriations-4Yr'!AH28+'Fed Contracts Grnts-4Yr'!AH28+'Other Contract Grnts-4Yr'!AH28+'Investment Income-4Yr'!AH28+'All Other E&amp;G-4Yr'!AH28</f>
        <v>4960257.8189999992</v>
      </c>
      <c r="AI28" s="58">
        <f>+'Tuition-4Yr'!AI28+'State Appropriations-4Yr'!AI28+'Local Appropriations-4Yr'!AI28+'Fed Contracts Grnts-4Yr'!AI28+'Other Contract Grnts-4Yr'!AI28+'Investment Income-4Yr'!AI28+'All Other E&amp;G-4Yr'!AI28</f>
        <v>5244069.8720000004</v>
      </c>
      <c r="AJ28" s="58">
        <f>+'Tuition-4Yr'!AJ28+'State Appropriations-4Yr'!AJ28+'Local Appropriations-4Yr'!AJ28+'Fed Contracts Grnts-4Yr'!AJ28+'Other Contract Grnts-4Yr'!AJ28+'Investment Income-4Yr'!AJ28+'All Other E&amp;G-4Yr'!AJ28</f>
        <v>0</v>
      </c>
      <c r="AK28" s="58">
        <f>+'Tuition-4Yr'!AK28+'State Appropriations-4Yr'!AK28+'Local Appropriations-4Yr'!AK28+'Fed Contracts Grnts-4Yr'!AK28+'Other Contract Grnts-4Yr'!AK28+'Investment Income-4Yr'!AK28+'All Other E&amp;G-4Yr'!AK28</f>
        <v>6067688.4550000001</v>
      </c>
    </row>
    <row r="29" spans="1:37" ht="12.75" customHeight="1">
      <c r="A29" s="1" t="s">
        <v>42</v>
      </c>
      <c r="B29" s="58">
        <f>+'Tuition-4Yr'!B29+'State Appropriations-4Yr'!B29+'Local Appropriations-4Yr'!B29+'Fed Contracts Grnts-4Yr'!B29+'Other Contract Grnts-4Yr'!B29+'Investment Income-4Yr'!B29+'All Other E&amp;G-4Yr'!B29</f>
        <v>0</v>
      </c>
      <c r="C29" s="58">
        <f>+'Tuition-4Yr'!C29+'State Appropriations-4Yr'!C29+'Local Appropriations-4Yr'!C29+'Fed Contracts Grnts-4Yr'!C29+'Other Contract Grnts-4Yr'!C29+'Investment Income-4Yr'!C29+'All Other E&amp;G-4Yr'!C29</f>
        <v>0</v>
      </c>
      <c r="D29" s="58">
        <f>+'Tuition-4Yr'!D29+'State Appropriations-4Yr'!D29+'Local Appropriations-4Yr'!D29+'Fed Contracts Grnts-4Yr'!D29+'Other Contract Grnts-4Yr'!D29+'Investment Income-4Yr'!D29+'All Other E&amp;G-4Yr'!D29</f>
        <v>0</v>
      </c>
      <c r="E29" s="58">
        <f>+'Tuition-4Yr'!E29+'State Appropriations-4Yr'!E29+'Local Appropriations-4Yr'!E29+'Fed Contracts Grnts-4Yr'!E29+'Other Contract Grnts-4Yr'!E29+'Investment Income-4Yr'!E29+'All Other E&amp;G-4Yr'!E29</f>
        <v>0</v>
      </c>
      <c r="F29" s="58">
        <f>+'Tuition-4Yr'!F29+'State Appropriations-4Yr'!F29+'Local Appropriations-4Yr'!F29+'Fed Contracts Grnts-4Yr'!F29+'Other Contract Grnts-4Yr'!F29+'Investment Income-4Yr'!F29+'All Other E&amp;G-4Yr'!F29</f>
        <v>0</v>
      </c>
      <c r="G29" s="58">
        <f>+'Tuition-4Yr'!G29+'State Appropriations-4Yr'!G29+'Local Appropriations-4Yr'!G29+'Fed Contracts Grnts-4Yr'!G29+'Other Contract Grnts-4Yr'!G29+'Investment Income-4Yr'!G29+'All Other E&amp;G-4Yr'!G29</f>
        <v>0</v>
      </c>
      <c r="H29" s="58">
        <f>+'Tuition-4Yr'!H29+'State Appropriations-4Yr'!H29+'Local Appropriations-4Yr'!H29+'Fed Contracts Grnts-4Yr'!H29+'Other Contract Grnts-4Yr'!H29+'Investment Income-4Yr'!H29+'All Other E&amp;G-4Yr'!H29</f>
        <v>0</v>
      </c>
      <c r="I29" s="58">
        <f>+'Tuition-4Yr'!I29+'State Appropriations-4Yr'!I29+'Local Appropriations-4Yr'!I29+'Fed Contracts Grnts-4Yr'!I29+'Other Contract Grnts-4Yr'!I29+'Investment Income-4Yr'!I29+'All Other E&amp;G-4Yr'!I29</f>
        <v>0</v>
      </c>
      <c r="J29" s="58">
        <f>+'Tuition-4Yr'!J29+'State Appropriations-4Yr'!J29+'Local Appropriations-4Yr'!J29+'Fed Contracts Grnts-4Yr'!J29+'Other Contract Grnts-4Yr'!J29+'Investment Income-4Yr'!J29+'All Other E&amp;G-4Yr'!J29</f>
        <v>408309.13099999999</v>
      </c>
      <c r="K29" s="58">
        <f>+'Tuition-4Yr'!K29+'State Appropriations-4Yr'!K29+'Local Appropriations-4Yr'!K29+'Fed Contracts Grnts-4Yr'!K29+'Other Contract Grnts-4Yr'!K29+'Investment Income-4Yr'!K29+'All Other E&amp;G-4Yr'!K29</f>
        <v>0</v>
      </c>
      <c r="L29" s="58">
        <f>+'Tuition-4Yr'!L29+'State Appropriations-4Yr'!L29+'Local Appropriations-4Yr'!L29+'Fed Contracts Grnts-4Yr'!L29+'Other Contract Grnts-4Yr'!L29+'Investment Income-4Yr'!L29+'All Other E&amp;G-4Yr'!L29</f>
        <v>0</v>
      </c>
      <c r="M29" s="58">
        <f>+'Tuition-4Yr'!M29+'State Appropriations-4Yr'!M29+'Local Appropriations-4Yr'!M29+'Fed Contracts Grnts-4Yr'!M29+'Other Contract Grnts-4Yr'!M29+'Investment Income-4Yr'!M29+'All Other E&amp;G-4Yr'!M29</f>
        <v>445984.53700000007</v>
      </c>
      <c r="N29" s="58">
        <f>+'Tuition-4Yr'!N29+'State Appropriations-4Yr'!N29+'Local Appropriations-4Yr'!N29+'Fed Contracts Grnts-4Yr'!N29+'Other Contract Grnts-4Yr'!N29+'Investment Income-4Yr'!N29+'All Other E&amp;G-4Yr'!N29</f>
        <v>0</v>
      </c>
      <c r="O29" s="58">
        <f>+'Tuition-4Yr'!O29+'State Appropriations-4Yr'!O29+'Local Appropriations-4Yr'!O29+'Fed Contracts Grnts-4Yr'!O29+'Other Contract Grnts-4Yr'!O29+'Investment Income-4Yr'!O29+'All Other E&amp;G-4Yr'!O29</f>
        <v>415496.86299999995</v>
      </c>
      <c r="P29" s="58">
        <f>+'Tuition-4Yr'!P29+'State Appropriations-4Yr'!P29+'Local Appropriations-4Yr'!P29+'Fed Contracts Grnts-4Yr'!P29+'Other Contract Grnts-4Yr'!P29+'Investment Income-4Yr'!P29+'All Other E&amp;G-4Yr'!P29</f>
        <v>0</v>
      </c>
      <c r="Q29" s="58">
        <f>+'Tuition-4Yr'!Q29+'State Appropriations-4Yr'!Q29+'Local Appropriations-4Yr'!Q29+'Fed Contracts Grnts-4Yr'!Q29+'Other Contract Grnts-4Yr'!Q29+'Investment Income-4Yr'!Q29+'All Other E&amp;G-4Yr'!Q29</f>
        <v>0</v>
      </c>
      <c r="R29" s="58">
        <f>+'Tuition-4Yr'!R29+'State Appropriations-4Yr'!R29+'Local Appropriations-4Yr'!R29+'Fed Contracts Grnts-4Yr'!R29+'Other Contract Grnts-4Yr'!R29+'Investment Income-4Yr'!R29+'All Other E&amp;G-4Yr'!R29</f>
        <v>435486.11100000003</v>
      </c>
      <c r="S29" s="58">
        <f>+'Tuition-4Yr'!S29+'State Appropriations-4Yr'!S29+'Local Appropriations-4Yr'!S29+'Fed Contracts Grnts-4Yr'!S29+'Other Contract Grnts-4Yr'!S29+'Investment Income-4Yr'!S29+'All Other E&amp;G-4Yr'!S29</f>
        <v>499086.58900000004</v>
      </c>
      <c r="T29" s="58">
        <f>+'Tuition-4Yr'!T29+'State Appropriations-4Yr'!T29+'Local Appropriations-4Yr'!T29+'Fed Contracts Grnts-4Yr'!T29+'Other Contract Grnts-4Yr'!T29+'Investment Income-4Yr'!T29+'All Other E&amp;G-4Yr'!T29</f>
        <v>506701.46900000004</v>
      </c>
      <c r="U29" s="58">
        <f>+'Tuition-4Yr'!U29+'State Appropriations-4Yr'!U29+'Local Appropriations-4Yr'!U29+'Fed Contracts Grnts-4Yr'!U29+'Other Contract Grnts-4Yr'!U29+'Investment Income-4Yr'!U29+'All Other E&amp;G-4Yr'!U29</f>
        <v>640131.06999999995</v>
      </c>
      <c r="V29" s="58">
        <f>+'Tuition-4Yr'!V29+'State Appropriations-4Yr'!V29+'Local Appropriations-4Yr'!V29+'Fed Contracts Grnts-4Yr'!V29+'Other Contract Grnts-4Yr'!V29+'Investment Income-4Yr'!V29+'All Other E&amp;G-4Yr'!V29</f>
        <v>657612.06799999997</v>
      </c>
      <c r="W29" s="58">
        <f>+'Tuition-4Yr'!W29+'State Appropriations-4Yr'!W29+'Local Appropriations-4Yr'!W29+'Fed Contracts Grnts-4Yr'!W29+'Other Contract Grnts-4Yr'!W29+'Investment Income-4Yr'!W29+'All Other E&amp;G-4Yr'!W29</f>
        <v>767749.69500000007</v>
      </c>
      <c r="X29" s="58">
        <f>+'Tuition-4Yr'!X29+'State Appropriations-4Yr'!X29+'Local Appropriations-4Yr'!X29+'Fed Contracts Grnts-4Yr'!X29+'Other Contract Grnts-4Yr'!X29+'Investment Income-4Yr'!X29+'All Other E&amp;G-4Yr'!X29</f>
        <v>754980.94099999988</v>
      </c>
      <c r="Y29" s="58">
        <f>+'Tuition-4Yr'!Y29+'State Appropriations-4Yr'!Y29+'Local Appropriations-4Yr'!Y29+'Fed Contracts Grnts-4Yr'!Y29+'Other Contract Grnts-4Yr'!Y29+'Investment Income-4Yr'!Y29+'All Other E&amp;G-4Yr'!Y29</f>
        <v>803714.17699999991</v>
      </c>
      <c r="Z29" s="58">
        <f>+'Tuition-4Yr'!Z29+'State Appropriations-4Yr'!Z29+'Local Appropriations-4Yr'!Z29+'Fed Contracts Grnts-4Yr'!Z29+'Other Contract Grnts-4Yr'!Z29+'Investment Income-4Yr'!Z29+'All Other E&amp;G-4Yr'!Z29</f>
        <v>922536.299</v>
      </c>
      <c r="AA29" s="58">
        <f>+'Tuition-4Yr'!AA29+'State Appropriations-4Yr'!AA29+'Local Appropriations-4Yr'!AA29+'Fed Contracts Grnts-4Yr'!AA29+'Other Contract Grnts-4Yr'!AA29+'Investment Income-4Yr'!AA29+'All Other E&amp;G-4Yr'!AA29</f>
        <v>927638.66500000004</v>
      </c>
      <c r="AB29" s="58">
        <f>+'Tuition-4Yr'!AB29+'State Appropriations-4Yr'!AB29+'Local Appropriations-4Yr'!AB29+'Fed Contracts Grnts-4Yr'!AB29+'Other Contract Grnts-4Yr'!AB29+'Investment Income-4Yr'!AB29+'All Other E&amp;G-4Yr'!AB29</f>
        <v>919624.68799999997</v>
      </c>
      <c r="AC29" s="58">
        <f>+'Tuition-4Yr'!AC29+'State Appropriations-4Yr'!AC29+'Local Appropriations-4Yr'!AC29+'Fed Contracts Grnts-4Yr'!AC29+'Other Contract Grnts-4Yr'!AC29+'Investment Income-4Yr'!AC29+'All Other E&amp;G-4Yr'!AC29</f>
        <v>990026</v>
      </c>
      <c r="AD29" s="58">
        <f>+'Tuition-4Yr'!AD29+'State Appropriations-4Yr'!AD29+'Local Appropriations-4Yr'!AD29+'Fed Contracts Grnts-4Yr'!AD29+'Other Contract Grnts-4Yr'!AD29+'Investment Income-4Yr'!AD29+'All Other E&amp;G-4Yr'!AD29</f>
        <v>998336.14599999995</v>
      </c>
      <c r="AE29" s="58">
        <f>+'Tuition-4Yr'!AE29+'State Appropriations-4Yr'!AE29+'Local Appropriations-4Yr'!AE29+'Fed Contracts Grnts-4Yr'!AE29+'Other Contract Grnts-4Yr'!AE29+'Investment Income-4Yr'!AE29+'All Other E&amp;G-4Yr'!AE29</f>
        <v>1034806.26</v>
      </c>
      <c r="AF29" s="58">
        <f>+'Tuition-4Yr'!AF29+'State Appropriations-4Yr'!AF29+'Local Appropriations-4Yr'!AF29+'Fed Contracts Grnts-4Yr'!AF29+'Other Contract Grnts-4Yr'!AF29+'Investment Income-4Yr'!AF29+'All Other E&amp;G-4Yr'!AF29</f>
        <v>1056148.9570000002</v>
      </c>
      <c r="AG29" s="58">
        <f>+'Tuition-4Yr'!AG29+'State Appropriations-4Yr'!AG29+'Local Appropriations-4Yr'!AG29+'Fed Contracts Grnts-4Yr'!AG29+'Other Contract Grnts-4Yr'!AG29+'Investment Income-4Yr'!AG29+'All Other E&amp;G-4Yr'!AG29</f>
        <v>1066263.328</v>
      </c>
      <c r="AH29" s="58">
        <f>+'Tuition-4Yr'!AH29+'State Appropriations-4Yr'!AH29+'Local Appropriations-4Yr'!AH29+'Fed Contracts Grnts-4Yr'!AH29+'Other Contract Grnts-4Yr'!AH29+'Investment Income-4Yr'!AH29+'All Other E&amp;G-4Yr'!AH29</f>
        <v>1101565.5009999999</v>
      </c>
      <c r="AI29" s="58">
        <f>+'Tuition-4Yr'!AI29+'State Appropriations-4Yr'!AI29+'Local Appropriations-4Yr'!AI29+'Fed Contracts Grnts-4Yr'!AI29+'Other Contract Grnts-4Yr'!AI29+'Investment Income-4Yr'!AI29+'All Other E&amp;G-4Yr'!AI29</f>
        <v>1129389.7420000001</v>
      </c>
      <c r="AJ29" s="58">
        <f>+'Tuition-4Yr'!AJ29+'State Appropriations-4Yr'!AJ29+'Local Appropriations-4Yr'!AJ29+'Fed Contracts Grnts-4Yr'!AJ29+'Other Contract Grnts-4Yr'!AJ29+'Investment Income-4Yr'!AJ29+'All Other E&amp;G-4Yr'!AJ29</f>
        <v>0</v>
      </c>
      <c r="AK29" s="58">
        <f>+'Tuition-4Yr'!AK29+'State Appropriations-4Yr'!AK29+'Local Appropriations-4Yr'!AK29+'Fed Contracts Grnts-4Yr'!AK29+'Other Contract Grnts-4Yr'!AK29+'Investment Income-4Yr'!AK29+'All Other E&amp;G-4Yr'!AK29</f>
        <v>1208644.736</v>
      </c>
    </row>
    <row r="30" spans="1:37" ht="12.75" customHeight="1">
      <c r="A30" s="1" t="s">
        <v>43</v>
      </c>
      <c r="B30" s="58">
        <f>+'Tuition-4Yr'!B30+'State Appropriations-4Yr'!B30+'Local Appropriations-4Yr'!B30+'Fed Contracts Grnts-4Yr'!B30+'Other Contract Grnts-4Yr'!B30+'Investment Income-4Yr'!B30+'All Other E&amp;G-4Yr'!B30</f>
        <v>0</v>
      </c>
      <c r="C30" s="58">
        <f>+'Tuition-4Yr'!C30+'State Appropriations-4Yr'!C30+'Local Appropriations-4Yr'!C30+'Fed Contracts Grnts-4Yr'!C30+'Other Contract Grnts-4Yr'!C30+'Investment Income-4Yr'!C30+'All Other E&amp;G-4Yr'!C30</f>
        <v>0</v>
      </c>
      <c r="D30" s="58">
        <f>+'Tuition-4Yr'!D30+'State Appropriations-4Yr'!D30+'Local Appropriations-4Yr'!D30+'Fed Contracts Grnts-4Yr'!D30+'Other Contract Grnts-4Yr'!D30+'Investment Income-4Yr'!D30+'All Other E&amp;G-4Yr'!D30</f>
        <v>0</v>
      </c>
      <c r="E30" s="58">
        <f>+'Tuition-4Yr'!E30+'State Appropriations-4Yr'!E30+'Local Appropriations-4Yr'!E30+'Fed Contracts Grnts-4Yr'!E30+'Other Contract Grnts-4Yr'!E30+'Investment Income-4Yr'!E30+'All Other E&amp;G-4Yr'!E30</f>
        <v>0</v>
      </c>
      <c r="F30" s="58">
        <f>+'Tuition-4Yr'!F30+'State Appropriations-4Yr'!F30+'Local Appropriations-4Yr'!F30+'Fed Contracts Grnts-4Yr'!F30+'Other Contract Grnts-4Yr'!F30+'Investment Income-4Yr'!F30+'All Other E&amp;G-4Yr'!F30</f>
        <v>0</v>
      </c>
      <c r="G30" s="58">
        <f>+'Tuition-4Yr'!G30+'State Appropriations-4Yr'!G30+'Local Appropriations-4Yr'!G30+'Fed Contracts Grnts-4Yr'!G30+'Other Contract Grnts-4Yr'!G30+'Investment Income-4Yr'!G30+'All Other E&amp;G-4Yr'!G30</f>
        <v>0</v>
      </c>
      <c r="H30" s="58">
        <f>+'Tuition-4Yr'!H30+'State Appropriations-4Yr'!H30+'Local Appropriations-4Yr'!H30+'Fed Contracts Grnts-4Yr'!H30+'Other Contract Grnts-4Yr'!H30+'Investment Income-4Yr'!H30+'All Other E&amp;G-4Yr'!H30</f>
        <v>0</v>
      </c>
      <c r="I30" s="58">
        <f>+'Tuition-4Yr'!I30+'State Appropriations-4Yr'!I30+'Local Appropriations-4Yr'!I30+'Fed Contracts Grnts-4Yr'!I30+'Other Contract Grnts-4Yr'!I30+'Investment Income-4Yr'!I30+'All Other E&amp;G-4Yr'!I30</f>
        <v>0</v>
      </c>
      <c r="J30" s="58">
        <f>+'Tuition-4Yr'!J30+'State Appropriations-4Yr'!J30+'Local Appropriations-4Yr'!J30+'Fed Contracts Grnts-4Yr'!J30+'Other Contract Grnts-4Yr'!J30+'Investment Income-4Yr'!J30+'All Other E&amp;G-4Yr'!J30</f>
        <v>334891.109</v>
      </c>
      <c r="K30" s="58">
        <f>+'Tuition-4Yr'!K30+'State Appropriations-4Yr'!K30+'Local Appropriations-4Yr'!K30+'Fed Contracts Grnts-4Yr'!K30+'Other Contract Grnts-4Yr'!K30+'Investment Income-4Yr'!K30+'All Other E&amp;G-4Yr'!K30</f>
        <v>0</v>
      </c>
      <c r="L30" s="58">
        <f>+'Tuition-4Yr'!L30+'State Appropriations-4Yr'!L30+'Local Appropriations-4Yr'!L30+'Fed Contracts Grnts-4Yr'!L30+'Other Contract Grnts-4Yr'!L30+'Investment Income-4Yr'!L30+'All Other E&amp;G-4Yr'!L30</f>
        <v>0</v>
      </c>
      <c r="M30" s="58">
        <f>+'Tuition-4Yr'!M30+'State Appropriations-4Yr'!M30+'Local Appropriations-4Yr'!M30+'Fed Contracts Grnts-4Yr'!M30+'Other Contract Grnts-4Yr'!M30+'Investment Income-4Yr'!M30+'All Other E&amp;G-4Yr'!M30</f>
        <v>402893.57900000003</v>
      </c>
      <c r="N30" s="58">
        <f>+'Tuition-4Yr'!N30+'State Appropriations-4Yr'!N30+'Local Appropriations-4Yr'!N30+'Fed Contracts Grnts-4Yr'!N30+'Other Contract Grnts-4Yr'!N30+'Investment Income-4Yr'!N30+'All Other E&amp;G-4Yr'!N30</f>
        <v>0</v>
      </c>
      <c r="O30" s="58">
        <f>+'Tuition-4Yr'!O30+'State Appropriations-4Yr'!O30+'Local Appropriations-4Yr'!O30+'Fed Contracts Grnts-4Yr'!O30+'Other Contract Grnts-4Yr'!O30+'Investment Income-4Yr'!O30+'All Other E&amp;G-4Yr'!O30</f>
        <v>436635.23</v>
      </c>
      <c r="P30" s="58">
        <f>+'Tuition-4Yr'!P30+'State Appropriations-4Yr'!P30+'Local Appropriations-4Yr'!P30+'Fed Contracts Grnts-4Yr'!P30+'Other Contract Grnts-4Yr'!P30+'Investment Income-4Yr'!P30+'All Other E&amp;G-4Yr'!P30</f>
        <v>0</v>
      </c>
      <c r="Q30" s="58">
        <f>+'Tuition-4Yr'!Q30+'State Appropriations-4Yr'!Q30+'Local Appropriations-4Yr'!Q30+'Fed Contracts Grnts-4Yr'!Q30+'Other Contract Grnts-4Yr'!Q30+'Investment Income-4Yr'!Q30+'All Other E&amp;G-4Yr'!Q30</f>
        <v>0</v>
      </c>
      <c r="R30" s="58">
        <f>+'Tuition-4Yr'!R30+'State Appropriations-4Yr'!R30+'Local Appropriations-4Yr'!R30+'Fed Contracts Grnts-4Yr'!R30+'Other Contract Grnts-4Yr'!R30+'Investment Income-4Yr'!R30+'All Other E&amp;G-4Yr'!R30</f>
        <v>529939.89599999995</v>
      </c>
      <c r="S30" s="58">
        <f>+'Tuition-4Yr'!S30+'State Appropriations-4Yr'!S30+'Local Appropriations-4Yr'!S30+'Fed Contracts Grnts-4Yr'!S30+'Other Contract Grnts-4Yr'!S30+'Investment Income-4Yr'!S30+'All Other E&amp;G-4Yr'!S30</f>
        <v>578920.74300000002</v>
      </c>
      <c r="T30" s="58">
        <f>+'Tuition-4Yr'!T30+'State Appropriations-4Yr'!T30+'Local Appropriations-4Yr'!T30+'Fed Contracts Grnts-4Yr'!T30+'Other Contract Grnts-4Yr'!T30+'Investment Income-4Yr'!T30+'All Other E&amp;G-4Yr'!T30</f>
        <v>630464.29799999995</v>
      </c>
      <c r="U30" s="58">
        <f>+'Tuition-4Yr'!U30+'State Appropriations-4Yr'!U30+'Local Appropriations-4Yr'!U30+'Fed Contracts Grnts-4Yr'!U30+'Other Contract Grnts-4Yr'!U30+'Investment Income-4Yr'!U30+'All Other E&amp;G-4Yr'!U30</f>
        <v>612710.46000000008</v>
      </c>
      <c r="V30" s="58">
        <f>+'Tuition-4Yr'!V30+'State Appropriations-4Yr'!V30+'Local Appropriations-4Yr'!V30+'Fed Contracts Grnts-4Yr'!V30+'Other Contract Grnts-4Yr'!V30+'Investment Income-4Yr'!V30+'All Other E&amp;G-4Yr'!V30</f>
        <v>637300.97999999986</v>
      </c>
      <c r="W30" s="58">
        <f>+'Tuition-4Yr'!W30+'State Appropriations-4Yr'!W30+'Local Appropriations-4Yr'!W30+'Fed Contracts Grnts-4Yr'!W30+'Other Contract Grnts-4Yr'!W30+'Investment Income-4Yr'!W30+'All Other E&amp;G-4Yr'!W30</f>
        <v>724836.50699999998</v>
      </c>
      <c r="X30" s="58">
        <f>+'Tuition-4Yr'!X30+'State Appropriations-4Yr'!X30+'Local Appropriations-4Yr'!X30+'Fed Contracts Grnts-4Yr'!X30+'Other Contract Grnts-4Yr'!X30+'Investment Income-4Yr'!X30+'All Other E&amp;G-4Yr'!X30</f>
        <v>720980.22699999996</v>
      </c>
      <c r="Y30" s="58">
        <f>+'Tuition-4Yr'!Y30+'State Appropriations-4Yr'!Y30+'Local Appropriations-4Yr'!Y30+'Fed Contracts Grnts-4Yr'!Y30+'Other Contract Grnts-4Yr'!Y30+'Investment Income-4Yr'!Y30+'All Other E&amp;G-4Yr'!Y30</f>
        <v>740343.79399999999</v>
      </c>
      <c r="Z30" s="58">
        <f>+'Tuition-4Yr'!Z30+'State Appropriations-4Yr'!Z30+'Local Appropriations-4Yr'!Z30+'Fed Contracts Grnts-4Yr'!Z30+'Other Contract Grnts-4Yr'!Z30+'Investment Income-4Yr'!Z30+'All Other E&amp;G-4Yr'!Z30</f>
        <v>788497.88199999998</v>
      </c>
      <c r="AA30" s="58">
        <f>+'Tuition-4Yr'!AA30+'State Appropriations-4Yr'!AA30+'Local Appropriations-4Yr'!AA30+'Fed Contracts Grnts-4Yr'!AA30+'Other Contract Grnts-4Yr'!AA30+'Investment Income-4Yr'!AA30+'All Other E&amp;G-4Yr'!AA30</f>
        <v>843107.85099999991</v>
      </c>
      <c r="AB30" s="58">
        <f>+'Tuition-4Yr'!AB30+'State Appropriations-4Yr'!AB30+'Local Appropriations-4Yr'!AB30+'Fed Contracts Grnts-4Yr'!AB30+'Other Contract Grnts-4Yr'!AB30+'Investment Income-4Yr'!AB30+'All Other E&amp;G-4Yr'!AB30</f>
        <v>865529.65800000005</v>
      </c>
      <c r="AC30" s="58">
        <f>+'Tuition-4Yr'!AC30+'State Appropriations-4Yr'!AC30+'Local Appropriations-4Yr'!AC30+'Fed Contracts Grnts-4Yr'!AC30+'Other Contract Grnts-4Yr'!AC30+'Investment Income-4Yr'!AC30+'All Other E&amp;G-4Yr'!AC30</f>
        <v>926425</v>
      </c>
      <c r="AD30" s="58">
        <f>+'Tuition-4Yr'!AD30+'State Appropriations-4Yr'!AD30+'Local Appropriations-4Yr'!AD30+'Fed Contracts Grnts-4Yr'!AD30+'Other Contract Grnts-4Yr'!AD30+'Investment Income-4Yr'!AD30+'All Other E&amp;G-4Yr'!AD30</f>
        <v>929187.30700000003</v>
      </c>
      <c r="AE30" s="58">
        <f>+'Tuition-4Yr'!AE30+'State Appropriations-4Yr'!AE30+'Local Appropriations-4Yr'!AE30+'Fed Contracts Grnts-4Yr'!AE30+'Other Contract Grnts-4Yr'!AE30+'Investment Income-4Yr'!AE30+'All Other E&amp;G-4Yr'!AE30</f>
        <v>966355.42299999995</v>
      </c>
      <c r="AF30" s="58">
        <f>+'Tuition-4Yr'!AF30+'State Appropriations-4Yr'!AF30+'Local Appropriations-4Yr'!AF30+'Fed Contracts Grnts-4Yr'!AF30+'Other Contract Grnts-4Yr'!AF30+'Investment Income-4Yr'!AF30+'All Other E&amp;G-4Yr'!AF30</f>
        <v>957101.93800000008</v>
      </c>
      <c r="AG30" s="58">
        <f>+'Tuition-4Yr'!AG30+'State Appropriations-4Yr'!AG30+'Local Appropriations-4Yr'!AG30+'Fed Contracts Grnts-4Yr'!AG30+'Other Contract Grnts-4Yr'!AG30+'Investment Income-4Yr'!AG30+'All Other E&amp;G-4Yr'!AG30</f>
        <v>1009800.613</v>
      </c>
      <c r="AH30" s="58">
        <f>+'Tuition-4Yr'!AH30+'State Appropriations-4Yr'!AH30+'Local Appropriations-4Yr'!AH30+'Fed Contracts Grnts-4Yr'!AH30+'Other Contract Grnts-4Yr'!AH30+'Investment Income-4Yr'!AH30+'All Other E&amp;G-4Yr'!AH30</f>
        <v>1040357.3850000001</v>
      </c>
      <c r="AI30" s="58">
        <f>+'Tuition-4Yr'!AI30+'State Appropriations-4Yr'!AI30+'Local Appropriations-4Yr'!AI30+'Fed Contracts Grnts-4Yr'!AI30+'Other Contract Grnts-4Yr'!AI30+'Investment Income-4Yr'!AI30+'All Other E&amp;G-4Yr'!AI30</f>
        <v>1070313.9210000001</v>
      </c>
      <c r="AJ30" s="58">
        <f>+'Tuition-4Yr'!AJ30+'State Appropriations-4Yr'!AJ30+'Local Appropriations-4Yr'!AJ30+'Fed Contracts Grnts-4Yr'!AJ30+'Other Contract Grnts-4Yr'!AJ30+'Investment Income-4Yr'!AJ30+'All Other E&amp;G-4Yr'!AJ30</f>
        <v>0</v>
      </c>
      <c r="AK30" s="58">
        <f>+'Tuition-4Yr'!AK30+'State Appropriations-4Yr'!AK30+'Local Appropriations-4Yr'!AK30+'Fed Contracts Grnts-4Yr'!AK30+'Other Contract Grnts-4Yr'!AK30+'Investment Income-4Yr'!AK30+'All Other E&amp;G-4Yr'!AK30</f>
        <v>1205348.5019999999</v>
      </c>
    </row>
    <row r="31" spans="1:37" ht="12.75" customHeight="1">
      <c r="A31" s="1" t="s">
        <v>44</v>
      </c>
      <c r="B31" s="58">
        <f>+'Tuition-4Yr'!B31+'State Appropriations-4Yr'!B31+'Local Appropriations-4Yr'!B31+'Fed Contracts Grnts-4Yr'!B31+'Other Contract Grnts-4Yr'!B31+'Investment Income-4Yr'!B31+'All Other E&amp;G-4Yr'!B31</f>
        <v>0</v>
      </c>
      <c r="C31" s="58">
        <f>+'Tuition-4Yr'!C31+'State Appropriations-4Yr'!C31+'Local Appropriations-4Yr'!C31+'Fed Contracts Grnts-4Yr'!C31+'Other Contract Grnts-4Yr'!C31+'Investment Income-4Yr'!C31+'All Other E&amp;G-4Yr'!C31</f>
        <v>0</v>
      </c>
      <c r="D31" s="58">
        <f>+'Tuition-4Yr'!D31+'State Appropriations-4Yr'!D31+'Local Appropriations-4Yr'!D31+'Fed Contracts Grnts-4Yr'!D31+'Other Contract Grnts-4Yr'!D31+'Investment Income-4Yr'!D31+'All Other E&amp;G-4Yr'!D31</f>
        <v>0</v>
      </c>
      <c r="E31" s="58">
        <f>+'Tuition-4Yr'!E31+'State Appropriations-4Yr'!E31+'Local Appropriations-4Yr'!E31+'Fed Contracts Grnts-4Yr'!E31+'Other Contract Grnts-4Yr'!E31+'Investment Income-4Yr'!E31+'All Other E&amp;G-4Yr'!E31</f>
        <v>0</v>
      </c>
      <c r="F31" s="58">
        <f>+'Tuition-4Yr'!F31+'State Appropriations-4Yr'!F31+'Local Appropriations-4Yr'!F31+'Fed Contracts Grnts-4Yr'!F31+'Other Contract Grnts-4Yr'!F31+'Investment Income-4Yr'!F31+'All Other E&amp;G-4Yr'!F31</f>
        <v>0</v>
      </c>
      <c r="G31" s="58">
        <f>+'Tuition-4Yr'!G31+'State Appropriations-4Yr'!G31+'Local Appropriations-4Yr'!G31+'Fed Contracts Grnts-4Yr'!G31+'Other Contract Grnts-4Yr'!G31+'Investment Income-4Yr'!G31+'All Other E&amp;G-4Yr'!G31</f>
        <v>0</v>
      </c>
      <c r="H31" s="58">
        <f>+'Tuition-4Yr'!H31+'State Appropriations-4Yr'!H31+'Local Appropriations-4Yr'!H31+'Fed Contracts Grnts-4Yr'!H31+'Other Contract Grnts-4Yr'!H31+'Investment Income-4Yr'!H31+'All Other E&amp;G-4Yr'!H31</f>
        <v>0</v>
      </c>
      <c r="I31" s="58">
        <f>+'Tuition-4Yr'!I31+'State Appropriations-4Yr'!I31+'Local Appropriations-4Yr'!I31+'Fed Contracts Grnts-4Yr'!I31+'Other Contract Grnts-4Yr'!I31+'Investment Income-4Yr'!I31+'All Other E&amp;G-4Yr'!I31</f>
        <v>0</v>
      </c>
      <c r="J31" s="58">
        <f>+'Tuition-4Yr'!J31+'State Appropriations-4Yr'!J31+'Local Appropriations-4Yr'!J31+'Fed Contracts Grnts-4Yr'!J31+'Other Contract Grnts-4Yr'!J31+'Investment Income-4Yr'!J31+'All Other E&amp;G-4Yr'!J31</f>
        <v>252037.79599999997</v>
      </c>
      <c r="K31" s="58">
        <f>+'Tuition-4Yr'!K31+'State Appropriations-4Yr'!K31+'Local Appropriations-4Yr'!K31+'Fed Contracts Grnts-4Yr'!K31+'Other Contract Grnts-4Yr'!K31+'Investment Income-4Yr'!K31+'All Other E&amp;G-4Yr'!K31</f>
        <v>0</v>
      </c>
      <c r="L31" s="58">
        <f>+'Tuition-4Yr'!L31+'State Appropriations-4Yr'!L31+'Local Appropriations-4Yr'!L31+'Fed Contracts Grnts-4Yr'!L31+'Other Contract Grnts-4Yr'!L31+'Investment Income-4Yr'!L31+'All Other E&amp;G-4Yr'!L31</f>
        <v>0</v>
      </c>
      <c r="M31" s="58">
        <f>+'Tuition-4Yr'!M31+'State Appropriations-4Yr'!M31+'Local Appropriations-4Yr'!M31+'Fed Contracts Grnts-4Yr'!M31+'Other Contract Grnts-4Yr'!M31+'Investment Income-4Yr'!M31+'All Other E&amp;G-4Yr'!M31</f>
        <v>293490.88199999998</v>
      </c>
      <c r="N31" s="58">
        <f>+'Tuition-4Yr'!N31+'State Appropriations-4Yr'!N31+'Local Appropriations-4Yr'!N31+'Fed Contracts Grnts-4Yr'!N31+'Other Contract Grnts-4Yr'!N31+'Investment Income-4Yr'!N31+'All Other E&amp;G-4Yr'!N31</f>
        <v>0</v>
      </c>
      <c r="O31" s="58">
        <f>+'Tuition-4Yr'!O31+'State Appropriations-4Yr'!O31+'Local Appropriations-4Yr'!O31+'Fed Contracts Grnts-4Yr'!O31+'Other Contract Grnts-4Yr'!O31+'Investment Income-4Yr'!O31+'All Other E&amp;G-4Yr'!O31</f>
        <v>353858.43400000001</v>
      </c>
      <c r="P31" s="58">
        <f>+'Tuition-4Yr'!P31+'State Appropriations-4Yr'!P31+'Local Appropriations-4Yr'!P31+'Fed Contracts Grnts-4Yr'!P31+'Other Contract Grnts-4Yr'!P31+'Investment Income-4Yr'!P31+'All Other E&amp;G-4Yr'!P31</f>
        <v>0</v>
      </c>
      <c r="Q31" s="58">
        <f>+'Tuition-4Yr'!Q31+'State Appropriations-4Yr'!Q31+'Local Appropriations-4Yr'!Q31+'Fed Contracts Grnts-4Yr'!Q31+'Other Contract Grnts-4Yr'!Q31+'Investment Income-4Yr'!Q31+'All Other E&amp;G-4Yr'!Q31</f>
        <v>0</v>
      </c>
      <c r="R31" s="58">
        <f>+'Tuition-4Yr'!R31+'State Appropriations-4Yr'!R31+'Local Appropriations-4Yr'!R31+'Fed Contracts Grnts-4Yr'!R31+'Other Contract Grnts-4Yr'!R31+'Investment Income-4Yr'!R31+'All Other E&amp;G-4Yr'!R31</f>
        <v>420522.74800000002</v>
      </c>
      <c r="S31" s="58">
        <f>+'Tuition-4Yr'!S31+'State Appropriations-4Yr'!S31+'Local Appropriations-4Yr'!S31+'Fed Contracts Grnts-4Yr'!S31+'Other Contract Grnts-4Yr'!S31+'Investment Income-4Yr'!S31+'All Other E&amp;G-4Yr'!S31</f>
        <v>444526.60599999997</v>
      </c>
      <c r="T31" s="58">
        <f>+'Tuition-4Yr'!T31+'State Appropriations-4Yr'!T31+'Local Appropriations-4Yr'!T31+'Fed Contracts Grnts-4Yr'!T31+'Other Contract Grnts-4Yr'!T31+'Investment Income-4Yr'!T31+'All Other E&amp;G-4Yr'!T31</f>
        <v>489543.93599999999</v>
      </c>
      <c r="U31" s="58">
        <f>+'Tuition-4Yr'!U31+'State Appropriations-4Yr'!U31+'Local Appropriations-4Yr'!U31+'Fed Contracts Grnts-4Yr'!U31+'Other Contract Grnts-4Yr'!U31+'Investment Income-4Yr'!U31+'All Other E&amp;G-4Yr'!U31</f>
        <v>525293.16099999996</v>
      </c>
      <c r="V31" s="58">
        <f>+'Tuition-4Yr'!V31+'State Appropriations-4Yr'!V31+'Local Appropriations-4Yr'!V31+'Fed Contracts Grnts-4Yr'!V31+'Other Contract Grnts-4Yr'!V31+'Investment Income-4Yr'!V31+'All Other E&amp;G-4Yr'!V31</f>
        <v>538415.24600000004</v>
      </c>
      <c r="W31" s="58">
        <f>+'Tuition-4Yr'!W31+'State Appropriations-4Yr'!W31+'Local Appropriations-4Yr'!W31+'Fed Contracts Grnts-4Yr'!W31+'Other Contract Grnts-4Yr'!W31+'Investment Income-4Yr'!W31+'All Other E&amp;G-4Yr'!W31</f>
        <v>603510.61899999995</v>
      </c>
      <c r="X31" s="58">
        <f>+'Tuition-4Yr'!X31+'State Appropriations-4Yr'!X31+'Local Appropriations-4Yr'!X31+'Fed Contracts Grnts-4Yr'!X31+'Other Contract Grnts-4Yr'!X31+'Investment Income-4Yr'!X31+'All Other E&amp;G-4Yr'!X31</f>
        <v>612933.804</v>
      </c>
      <c r="Y31" s="58">
        <f>+'Tuition-4Yr'!Y31+'State Appropriations-4Yr'!Y31+'Local Appropriations-4Yr'!Y31+'Fed Contracts Grnts-4Yr'!Y31+'Other Contract Grnts-4Yr'!Y31+'Investment Income-4Yr'!Y31+'All Other E&amp;G-4Yr'!Y31</f>
        <v>642662.32699999993</v>
      </c>
      <c r="Z31" s="58">
        <f>+'Tuition-4Yr'!Z31+'State Appropriations-4Yr'!Z31+'Local Appropriations-4Yr'!Z31+'Fed Contracts Grnts-4Yr'!Z31+'Other Contract Grnts-4Yr'!Z31+'Investment Income-4Yr'!Z31+'All Other E&amp;G-4Yr'!Z31</f>
        <v>657915.81700000016</v>
      </c>
      <c r="AA31" s="58">
        <f>+'Tuition-4Yr'!AA31+'State Appropriations-4Yr'!AA31+'Local Appropriations-4Yr'!AA31+'Fed Contracts Grnts-4Yr'!AA31+'Other Contract Grnts-4Yr'!AA31+'Investment Income-4Yr'!AA31+'All Other E&amp;G-4Yr'!AA31</f>
        <v>725765.35199999996</v>
      </c>
      <c r="AB31" s="58">
        <f>+'Tuition-4Yr'!AB31+'State Appropriations-4Yr'!AB31+'Local Appropriations-4Yr'!AB31+'Fed Contracts Grnts-4Yr'!AB31+'Other Contract Grnts-4Yr'!AB31+'Investment Income-4Yr'!AB31+'All Other E&amp;G-4Yr'!AB31</f>
        <v>775643.61599999992</v>
      </c>
      <c r="AC31" s="58">
        <f>+'Tuition-4Yr'!AC31+'State Appropriations-4Yr'!AC31+'Local Appropriations-4Yr'!AC31+'Fed Contracts Grnts-4Yr'!AC31+'Other Contract Grnts-4Yr'!AC31+'Investment Income-4Yr'!AC31+'All Other E&amp;G-4Yr'!AC31</f>
        <v>805690</v>
      </c>
      <c r="AD31" s="58">
        <f>+'Tuition-4Yr'!AD31+'State Appropriations-4Yr'!AD31+'Local Appropriations-4Yr'!AD31+'Fed Contracts Grnts-4Yr'!AD31+'Other Contract Grnts-4Yr'!AD31+'Investment Income-4Yr'!AD31+'All Other E&amp;G-4Yr'!AD31</f>
        <v>822457.59100000001</v>
      </c>
      <c r="AE31" s="58">
        <f>+'Tuition-4Yr'!AE31+'State Appropriations-4Yr'!AE31+'Local Appropriations-4Yr'!AE31+'Fed Contracts Grnts-4Yr'!AE31+'Other Contract Grnts-4Yr'!AE31+'Investment Income-4Yr'!AE31+'All Other E&amp;G-4Yr'!AE31</f>
        <v>829971.67</v>
      </c>
      <c r="AF31" s="58">
        <f>+'Tuition-4Yr'!AF31+'State Appropriations-4Yr'!AF31+'Local Appropriations-4Yr'!AF31+'Fed Contracts Grnts-4Yr'!AF31+'Other Contract Grnts-4Yr'!AF31+'Investment Income-4Yr'!AF31+'All Other E&amp;G-4Yr'!AF31</f>
        <v>809204.42099999997</v>
      </c>
      <c r="AG31" s="58">
        <f>+'Tuition-4Yr'!AG31+'State Appropriations-4Yr'!AG31+'Local Appropriations-4Yr'!AG31+'Fed Contracts Grnts-4Yr'!AG31+'Other Contract Grnts-4Yr'!AG31+'Investment Income-4Yr'!AG31+'All Other E&amp;G-4Yr'!AG31</f>
        <v>878339.08299999998</v>
      </c>
      <c r="AH31" s="58">
        <f>+'Tuition-4Yr'!AH31+'State Appropriations-4Yr'!AH31+'Local Appropriations-4Yr'!AH31+'Fed Contracts Grnts-4Yr'!AH31+'Other Contract Grnts-4Yr'!AH31+'Investment Income-4Yr'!AH31+'All Other E&amp;G-4Yr'!AH31</f>
        <v>899918.9709999999</v>
      </c>
      <c r="AI31" s="58">
        <f>+'Tuition-4Yr'!AI31+'State Appropriations-4Yr'!AI31+'Local Appropriations-4Yr'!AI31+'Fed Contracts Grnts-4Yr'!AI31+'Other Contract Grnts-4Yr'!AI31+'Investment Income-4Yr'!AI31+'All Other E&amp;G-4Yr'!AI31</f>
        <v>936445.13400000008</v>
      </c>
      <c r="AJ31" s="58">
        <f>+'Tuition-4Yr'!AJ31+'State Appropriations-4Yr'!AJ31+'Local Appropriations-4Yr'!AJ31+'Fed Contracts Grnts-4Yr'!AJ31+'Other Contract Grnts-4Yr'!AJ31+'Investment Income-4Yr'!AJ31+'All Other E&amp;G-4Yr'!AJ31</f>
        <v>0</v>
      </c>
      <c r="AK31" s="58">
        <f>+'Tuition-4Yr'!AK31+'State Appropriations-4Yr'!AK31+'Local Appropriations-4Yr'!AK31+'Fed Contracts Grnts-4Yr'!AK31+'Other Contract Grnts-4Yr'!AK31+'Investment Income-4Yr'!AK31+'All Other E&amp;G-4Yr'!AK31</f>
        <v>1020461.59</v>
      </c>
    </row>
    <row r="32" spans="1:37" ht="12.75" customHeight="1">
      <c r="A32" s="1" t="s">
        <v>45</v>
      </c>
      <c r="B32" s="58">
        <f>+'Tuition-4Yr'!B32+'State Appropriations-4Yr'!B32+'Local Appropriations-4Yr'!B32+'Fed Contracts Grnts-4Yr'!B32+'Other Contract Grnts-4Yr'!B32+'Investment Income-4Yr'!B32+'All Other E&amp;G-4Yr'!B32</f>
        <v>0</v>
      </c>
      <c r="C32" s="58">
        <f>+'Tuition-4Yr'!C32+'State Appropriations-4Yr'!C32+'Local Appropriations-4Yr'!C32+'Fed Contracts Grnts-4Yr'!C32+'Other Contract Grnts-4Yr'!C32+'Investment Income-4Yr'!C32+'All Other E&amp;G-4Yr'!C32</f>
        <v>0</v>
      </c>
      <c r="D32" s="58">
        <f>+'Tuition-4Yr'!D32+'State Appropriations-4Yr'!D32+'Local Appropriations-4Yr'!D32+'Fed Contracts Grnts-4Yr'!D32+'Other Contract Grnts-4Yr'!D32+'Investment Income-4Yr'!D32+'All Other E&amp;G-4Yr'!D32</f>
        <v>0</v>
      </c>
      <c r="E32" s="58">
        <f>+'Tuition-4Yr'!E32+'State Appropriations-4Yr'!E32+'Local Appropriations-4Yr'!E32+'Fed Contracts Grnts-4Yr'!E32+'Other Contract Grnts-4Yr'!E32+'Investment Income-4Yr'!E32+'All Other E&amp;G-4Yr'!E32</f>
        <v>0</v>
      </c>
      <c r="F32" s="58">
        <f>+'Tuition-4Yr'!F32+'State Appropriations-4Yr'!F32+'Local Appropriations-4Yr'!F32+'Fed Contracts Grnts-4Yr'!F32+'Other Contract Grnts-4Yr'!F32+'Investment Income-4Yr'!F32+'All Other E&amp;G-4Yr'!F32</f>
        <v>0</v>
      </c>
      <c r="G32" s="58">
        <f>+'Tuition-4Yr'!G32+'State Appropriations-4Yr'!G32+'Local Appropriations-4Yr'!G32+'Fed Contracts Grnts-4Yr'!G32+'Other Contract Grnts-4Yr'!G32+'Investment Income-4Yr'!G32+'All Other E&amp;G-4Yr'!G32</f>
        <v>0</v>
      </c>
      <c r="H32" s="58">
        <f>+'Tuition-4Yr'!H32+'State Appropriations-4Yr'!H32+'Local Appropriations-4Yr'!H32+'Fed Contracts Grnts-4Yr'!H32+'Other Contract Grnts-4Yr'!H32+'Investment Income-4Yr'!H32+'All Other E&amp;G-4Yr'!H32</f>
        <v>0</v>
      </c>
      <c r="I32" s="58">
        <f>+'Tuition-4Yr'!I32+'State Appropriations-4Yr'!I32+'Local Appropriations-4Yr'!I32+'Fed Contracts Grnts-4Yr'!I32+'Other Contract Grnts-4Yr'!I32+'Investment Income-4Yr'!I32+'All Other E&amp;G-4Yr'!I32</f>
        <v>0</v>
      </c>
      <c r="J32" s="58">
        <f>+'Tuition-4Yr'!J32+'State Appropriations-4Yr'!J32+'Local Appropriations-4Yr'!J32+'Fed Contracts Grnts-4Yr'!J32+'Other Contract Grnts-4Yr'!J32+'Investment Income-4Yr'!J32+'All Other E&amp;G-4Yr'!J32</f>
        <v>282632.57900000003</v>
      </c>
      <c r="K32" s="58">
        <f>+'Tuition-4Yr'!K32+'State Appropriations-4Yr'!K32+'Local Appropriations-4Yr'!K32+'Fed Contracts Grnts-4Yr'!K32+'Other Contract Grnts-4Yr'!K32+'Investment Income-4Yr'!K32+'All Other E&amp;G-4Yr'!K32</f>
        <v>0</v>
      </c>
      <c r="L32" s="58">
        <f>+'Tuition-4Yr'!L32+'State Appropriations-4Yr'!L32+'Local Appropriations-4Yr'!L32+'Fed Contracts Grnts-4Yr'!L32+'Other Contract Grnts-4Yr'!L32+'Investment Income-4Yr'!L32+'All Other E&amp;G-4Yr'!L32</f>
        <v>0</v>
      </c>
      <c r="M32" s="58">
        <f>+'Tuition-4Yr'!M32+'State Appropriations-4Yr'!M32+'Local Appropriations-4Yr'!M32+'Fed Contracts Grnts-4Yr'!M32+'Other Contract Grnts-4Yr'!M32+'Investment Income-4Yr'!M32+'All Other E&amp;G-4Yr'!M32</f>
        <v>347688.58400000003</v>
      </c>
      <c r="N32" s="58">
        <f>+'Tuition-4Yr'!N32+'State Appropriations-4Yr'!N32+'Local Appropriations-4Yr'!N32+'Fed Contracts Grnts-4Yr'!N32+'Other Contract Grnts-4Yr'!N32+'Investment Income-4Yr'!N32+'All Other E&amp;G-4Yr'!N32</f>
        <v>0</v>
      </c>
      <c r="O32" s="58">
        <f>+'Tuition-4Yr'!O32+'State Appropriations-4Yr'!O32+'Local Appropriations-4Yr'!O32+'Fed Contracts Grnts-4Yr'!O32+'Other Contract Grnts-4Yr'!O32+'Investment Income-4Yr'!O32+'All Other E&amp;G-4Yr'!O32</f>
        <v>392534.42600000009</v>
      </c>
      <c r="P32" s="58">
        <f>+'Tuition-4Yr'!P32+'State Appropriations-4Yr'!P32+'Local Appropriations-4Yr'!P32+'Fed Contracts Grnts-4Yr'!P32+'Other Contract Grnts-4Yr'!P32+'Investment Income-4Yr'!P32+'All Other E&amp;G-4Yr'!P32</f>
        <v>0</v>
      </c>
      <c r="Q32" s="58">
        <f>+'Tuition-4Yr'!Q32+'State Appropriations-4Yr'!Q32+'Local Appropriations-4Yr'!Q32+'Fed Contracts Grnts-4Yr'!Q32+'Other Contract Grnts-4Yr'!Q32+'Investment Income-4Yr'!Q32+'All Other E&amp;G-4Yr'!Q32</f>
        <v>0</v>
      </c>
      <c r="R32" s="58">
        <f>+'Tuition-4Yr'!R32+'State Appropriations-4Yr'!R32+'Local Appropriations-4Yr'!R32+'Fed Contracts Grnts-4Yr'!R32+'Other Contract Grnts-4Yr'!R32+'Investment Income-4Yr'!R32+'All Other E&amp;G-4Yr'!R32</f>
        <v>475376.56899999996</v>
      </c>
      <c r="S32" s="58">
        <f>+'Tuition-4Yr'!S32+'State Appropriations-4Yr'!S32+'Local Appropriations-4Yr'!S32+'Fed Contracts Grnts-4Yr'!S32+'Other Contract Grnts-4Yr'!S32+'Investment Income-4Yr'!S32+'All Other E&amp;G-4Yr'!S32</f>
        <v>527871.60400000005</v>
      </c>
      <c r="T32" s="58">
        <f>+'Tuition-4Yr'!T32+'State Appropriations-4Yr'!T32+'Local Appropriations-4Yr'!T32+'Fed Contracts Grnts-4Yr'!T32+'Other Contract Grnts-4Yr'!T32+'Investment Income-4Yr'!T32+'All Other E&amp;G-4Yr'!T32</f>
        <v>604488.87700000009</v>
      </c>
      <c r="U32" s="58">
        <f>+'Tuition-4Yr'!U32+'State Appropriations-4Yr'!U32+'Local Appropriations-4Yr'!U32+'Fed Contracts Grnts-4Yr'!U32+'Other Contract Grnts-4Yr'!U32+'Investment Income-4Yr'!U32+'All Other E&amp;G-4Yr'!U32</f>
        <v>642400.19000000006</v>
      </c>
      <c r="V32" s="58">
        <f>+'Tuition-4Yr'!V32+'State Appropriations-4Yr'!V32+'Local Appropriations-4Yr'!V32+'Fed Contracts Grnts-4Yr'!V32+'Other Contract Grnts-4Yr'!V32+'Investment Income-4Yr'!V32+'All Other E&amp;G-4Yr'!V32</f>
        <v>883645.68400000001</v>
      </c>
      <c r="W32" s="58">
        <f>+'Tuition-4Yr'!W32+'State Appropriations-4Yr'!W32+'Local Appropriations-4Yr'!W32+'Fed Contracts Grnts-4Yr'!W32+'Other Contract Grnts-4Yr'!W32+'Investment Income-4Yr'!W32+'All Other E&amp;G-4Yr'!W32</f>
        <v>1000894.023</v>
      </c>
      <c r="X32" s="58">
        <f>+'Tuition-4Yr'!X32+'State Appropriations-4Yr'!X32+'Local Appropriations-4Yr'!X32+'Fed Contracts Grnts-4Yr'!X32+'Other Contract Grnts-4Yr'!X32+'Investment Income-4Yr'!X32+'All Other E&amp;G-4Yr'!X32</f>
        <v>1084128.523</v>
      </c>
      <c r="Y32" s="58">
        <f>+'Tuition-4Yr'!Y32+'State Appropriations-4Yr'!Y32+'Local Appropriations-4Yr'!Y32+'Fed Contracts Grnts-4Yr'!Y32+'Other Contract Grnts-4Yr'!Y32+'Investment Income-4Yr'!Y32+'All Other E&amp;G-4Yr'!Y32</f>
        <v>1167448.4800000002</v>
      </c>
      <c r="Z32" s="58">
        <f>+'Tuition-4Yr'!Z32+'State Appropriations-4Yr'!Z32+'Local Appropriations-4Yr'!Z32+'Fed Contracts Grnts-4Yr'!Z32+'Other Contract Grnts-4Yr'!Z32+'Investment Income-4Yr'!Z32+'All Other E&amp;G-4Yr'!Z32</f>
        <v>1208514.1339999998</v>
      </c>
      <c r="AA32" s="58">
        <f>+'Tuition-4Yr'!AA32+'State Appropriations-4Yr'!AA32+'Local Appropriations-4Yr'!AA32+'Fed Contracts Grnts-4Yr'!AA32+'Other Contract Grnts-4Yr'!AA32+'Investment Income-4Yr'!AA32+'All Other E&amp;G-4Yr'!AA32</f>
        <v>997015.10100000014</v>
      </c>
      <c r="AB32" s="58">
        <f>+'Tuition-4Yr'!AB32+'State Appropriations-4Yr'!AB32+'Local Appropriations-4Yr'!AB32+'Fed Contracts Grnts-4Yr'!AB32+'Other Contract Grnts-4Yr'!AB32+'Investment Income-4Yr'!AB32+'All Other E&amp;G-4Yr'!AB32</f>
        <v>1062123.2510000002</v>
      </c>
      <c r="AC32" s="58">
        <f>+'Tuition-4Yr'!AC32+'State Appropriations-4Yr'!AC32+'Local Appropriations-4Yr'!AC32+'Fed Contracts Grnts-4Yr'!AC32+'Other Contract Grnts-4Yr'!AC32+'Investment Income-4Yr'!AC32+'All Other E&amp;G-4Yr'!AC32</f>
        <v>1087636</v>
      </c>
      <c r="AD32" s="58">
        <f>+'Tuition-4Yr'!AD32+'State Appropriations-4Yr'!AD32+'Local Appropriations-4Yr'!AD32+'Fed Contracts Grnts-4Yr'!AD32+'Other Contract Grnts-4Yr'!AD32+'Investment Income-4Yr'!AD32+'All Other E&amp;G-4Yr'!AD32</f>
        <v>991272.79099999997</v>
      </c>
      <c r="AE32" s="58">
        <f>+'Tuition-4Yr'!AE32+'State Appropriations-4Yr'!AE32+'Local Appropriations-4Yr'!AE32+'Fed Contracts Grnts-4Yr'!AE32+'Other Contract Grnts-4Yr'!AE32+'Investment Income-4Yr'!AE32+'All Other E&amp;G-4Yr'!AE32</f>
        <v>1116342.118</v>
      </c>
      <c r="AF32" s="58">
        <f>+'Tuition-4Yr'!AF32+'State Appropriations-4Yr'!AF32+'Local Appropriations-4Yr'!AF32+'Fed Contracts Grnts-4Yr'!AF32+'Other Contract Grnts-4Yr'!AF32+'Investment Income-4Yr'!AF32+'All Other E&amp;G-4Yr'!AF32</f>
        <v>1109254.4569999999</v>
      </c>
      <c r="AG32" s="58">
        <f>+'Tuition-4Yr'!AG32+'State Appropriations-4Yr'!AG32+'Local Appropriations-4Yr'!AG32+'Fed Contracts Grnts-4Yr'!AG32+'Other Contract Grnts-4Yr'!AG32+'Investment Income-4Yr'!AG32+'All Other E&amp;G-4Yr'!AG32</f>
        <v>1144367.3219999999</v>
      </c>
      <c r="AH32" s="58">
        <f>+'Tuition-4Yr'!AH32+'State Appropriations-4Yr'!AH32+'Local Appropriations-4Yr'!AH32+'Fed Contracts Grnts-4Yr'!AH32+'Other Contract Grnts-4Yr'!AH32+'Investment Income-4Yr'!AH32+'All Other E&amp;G-4Yr'!AH32</f>
        <v>1253686.7889999999</v>
      </c>
      <c r="AI32" s="58">
        <f>+'Tuition-4Yr'!AI32+'State Appropriations-4Yr'!AI32+'Local Appropriations-4Yr'!AI32+'Fed Contracts Grnts-4Yr'!AI32+'Other Contract Grnts-4Yr'!AI32+'Investment Income-4Yr'!AI32+'All Other E&amp;G-4Yr'!AI32</f>
        <v>1376712.9180000003</v>
      </c>
      <c r="AJ32" s="58">
        <f>+'Tuition-4Yr'!AJ32+'State Appropriations-4Yr'!AJ32+'Local Appropriations-4Yr'!AJ32+'Fed Contracts Grnts-4Yr'!AJ32+'Other Contract Grnts-4Yr'!AJ32+'Investment Income-4Yr'!AJ32+'All Other E&amp;G-4Yr'!AJ32</f>
        <v>0</v>
      </c>
      <c r="AK32" s="58">
        <f>+'Tuition-4Yr'!AK32+'State Appropriations-4Yr'!AK32+'Local Appropriations-4Yr'!AK32+'Fed Contracts Grnts-4Yr'!AK32+'Other Contract Grnts-4Yr'!AK32+'Investment Income-4Yr'!AK32+'All Other E&amp;G-4Yr'!AK32</f>
        <v>1566138.6690000002</v>
      </c>
    </row>
    <row r="33" spans="1:37" ht="12.75" customHeight="1">
      <c r="A33" s="1" t="s">
        <v>46</v>
      </c>
      <c r="B33" s="58">
        <f>+'Tuition-4Yr'!B33+'State Appropriations-4Yr'!B33+'Local Appropriations-4Yr'!B33+'Fed Contracts Grnts-4Yr'!B33+'Other Contract Grnts-4Yr'!B33+'Investment Income-4Yr'!B33+'All Other E&amp;G-4Yr'!B33</f>
        <v>0</v>
      </c>
      <c r="C33" s="58">
        <f>+'Tuition-4Yr'!C33+'State Appropriations-4Yr'!C33+'Local Appropriations-4Yr'!C33+'Fed Contracts Grnts-4Yr'!C33+'Other Contract Grnts-4Yr'!C33+'Investment Income-4Yr'!C33+'All Other E&amp;G-4Yr'!C33</f>
        <v>0</v>
      </c>
      <c r="D33" s="58">
        <f>+'Tuition-4Yr'!D33+'State Appropriations-4Yr'!D33+'Local Appropriations-4Yr'!D33+'Fed Contracts Grnts-4Yr'!D33+'Other Contract Grnts-4Yr'!D33+'Investment Income-4Yr'!D33+'All Other E&amp;G-4Yr'!D33</f>
        <v>0</v>
      </c>
      <c r="E33" s="58">
        <f>+'Tuition-4Yr'!E33+'State Appropriations-4Yr'!E33+'Local Appropriations-4Yr'!E33+'Fed Contracts Grnts-4Yr'!E33+'Other Contract Grnts-4Yr'!E33+'Investment Income-4Yr'!E33+'All Other E&amp;G-4Yr'!E33</f>
        <v>0</v>
      </c>
      <c r="F33" s="58">
        <f>+'Tuition-4Yr'!F33+'State Appropriations-4Yr'!F33+'Local Appropriations-4Yr'!F33+'Fed Contracts Grnts-4Yr'!F33+'Other Contract Grnts-4Yr'!F33+'Investment Income-4Yr'!F33+'All Other E&amp;G-4Yr'!F33</f>
        <v>0</v>
      </c>
      <c r="G33" s="58">
        <f>+'Tuition-4Yr'!G33+'State Appropriations-4Yr'!G33+'Local Appropriations-4Yr'!G33+'Fed Contracts Grnts-4Yr'!G33+'Other Contract Grnts-4Yr'!G33+'Investment Income-4Yr'!G33+'All Other E&amp;G-4Yr'!G33</f>
        <v>0</v>
      </c>
      <c r="H33" s="58">
        <f>+'Tuition-4Yr'!H33+'State Appropriations-4Yr'!H33+'Local Appropriations-4Yr'!H33+'Fed Contracts Grnts-4Yr'!H33+'Other Contract Grnts-4Yr'!H33+'Investment Income-4Yr'!H33+'All Other E&amp;G-4Yr'!H33</f>
        <v>0</v>
      </c>
      <c r="I33" s="58">
        <f>+'Tuition-4Yr'!I33+'State Appropriations-4Yr'!I33+'Local Appropriations-4Yr'!I33+'Fed Contracts Grnts-4Yr'!I33+'Other Contract Grnts-4Yr'!I33+'Investment Income-4Yr'!I33+'All Other E&amp;G-4Yr'!I33</f>
        <v>0</v>
      </c>
      <c r="J33" s="58">
        <f>+'Tuition-4Yr'!J33+'State Appropriations-4Yr'!J33+'Local Appropriations-4Yr'!J33+'Fed Contracts Grnts-4Yr'!J33+'Other Contract Grnts-4Yr'!J33+'Investment Income-4Yr'!J33+'All Other E&amp;G-4Yr'!J33</f>
        <v>706673.53200000001</v>
      </c>
      <c r="K33" s="58">
        <f>+'Tuition-4Yr'!K33+'State Appropriations-4Yr'!K33+'Local Appropriations-4Yr'!K33+'Fed Contracts Grnts-4Yr'!K33+'Other Contract Grnts-4Yr'!K33+'Investment Income-4Yr'!K33+'All Other E&amp;G-4Yr'!K33</f>
        <v>0</v>
      </c>
      <c r="L33" s="58">
        <f>+'Tuition-4Yr'!L33+'State Appropriations-4Yr'!L33+'Local Appropriations-4Yr'!L33+'Fed Contracts Grnts-4Yr'!L33+'Other Contract Grnts-4Yr'!L33+'Investment Income-4Yr'!L33+'All Other E&amp;G-4Yr'!L33</f>
        <v>0</v>
      </c>
      <c r="M33" s="58">
        <f>+'Tuition-4Yr'!M33+'State Appropriations-4Yr'!M33+'Local Appropriations-4Yr'!M33+'Fed Contracts Grnts-4Yr'!M33+'Other Contract Grnts-4Yr'!M33+'Investment Income-4Yr'!M33+'All Other E&amp;G-4Yr'!M33</f>
        <v>793843.18</v>
      </c>
      <c r="N33" s="58">
        <f>+'Tuition-4Yr'!N33+'State Appropriations-4Yr'!N33+'Local Appropriations-4Yr'!N33+'Fed Contracts Grnts-4Yr'!N33+'Other Contract Grnts-4Yr'!N33+'Investment Income-4Yr'!N33+'All Other E&amp;G-4Yr'!N33</f>
        <v>0</v>
      </c>
      <c r="O33" s="58">
        <f>+'Tuition-4Yr'!O33+'State Appropriations-4Yr'!O33+'Local Appropriations-4Yr'!O33+'Fed Contracts Grnts-4Yr'!O33+'Other Contract Grnts-4Yr'!O33+'Investment Income-4Yr'!O33+'All Other E&amp;G-4Yr'!O33</f>
        <v>940614.19431999989</v>
      </c>
      <c r="P33" s="58">
        <f>+'Tuition-4Yr'!P33+'State Appropriations-4Yr'!P33+'Local Appropriations-4Yr'!P33+'Fed Contracts Grnts-4Yr'!P33+'Other Contract Grnts-4Yr'!P33+'Investment Income-4Yr'!P33+'All Other E&amp;G-4Yr'!P33</f>
        <v>0</v>
      </c>
      <c r="Q33" s="58">
        <f>+'Tuition-4Yr'!Q33+'State Appropriations-4Yr'!Q33+'Local Appropriations-4Yr'!Q33+'Fed Contracts Grnts-4Yr'!Q33+'Other Contract Grnts-4Yr'!Q33+'Investment Income-4Yr'!Q33+'All Other E&amp;G-4Yr'!Q33</f>
        <v>0</v>
      </c>
      <c r="R33" s="58">
        <f>+'Tuition-4Yr'!R33+'State Appropriations-4Yr'!R33+'Local Appropriations-4Yr'!R33+'Fed Contracts Grnts-4Yr'!R33+'Other Contract Grnts-4Yr'!R33+'Investment Income-4Yr'!R33+'All Other E&amp;G-4Yr'!R33</f>
        <v>1094147.7039999999</v>
      </c>
      <c r="S33" s="58">
        <f>+'Tuition-4Yr'!S33+'State Appropriations-4Yr'!S33+'Local Appropriations-4Yr'!S33+'Fed Contracts Grnts-4Yr'!S33+'Other Contract Grnts-4Yr'!S33+'Investment Income-4Yr'!S33+'All Other E&amp;G-4Yr'!S33</f>
        <v>1091128.9620000001</v>
      </c>
      <c r="T33" s="58">
        <f>+'Tuition-4Yr'!T33+'State Appropriations-4Yr'!T33+'Local Appropriations-4Yr'!T33+'Fed Contracts Grnts-4Yr'!T33+'Other Contract Grnts-4Yr'!T33+'Investment Income-4Yr'!T33+'All Other E&amp;G-4Yr'!T33</f>
        <v>1166687.2379999999</v>
      </c>
      <c r="U33" s="58">
        <f>+'Tuition-4Yr'!U33+'State Appropriations-4Yr'!U33+'Local Appropriations-4Yr'!U33+'Fed Contracts Grnts-4Yr'!U33+'Other Contract Grnts-4Yr'!U33+'Investment Income-4Yr'!U33+'All Other E&amp;G-4Yr'!U33</f>
        <v>1248177.9980000004</v>
      </c>
      <c r="V33" s="58">
        <f>+'Tuition-4Yr'!V33+'State Appropriations-4Yr'!V33+'Local Appropriations-4Yr'!V33+'Fed Contracts Grnts-4Yr'!V33+'Other Contract Grnts-4Yr'!V33+'Investment Income-4Yr'!V33+'All Other E&amp;G-4Yr'!V33</f>
        <v>1326240.3729999999</v>
      </c>
      <c r="W33" s="58">
        <f>+'Tuition-4Yr'!W33+'State Appropriations-4Yr'!W33+'Local Appropriations-4Yr'!W33+'Fed Contracts Grnts-4Yr'!W33+'Other Contract Grnts-4Yr'!W33+'Investment Income-4Yr'!W33+'All Other E&amp;G-4Yr'!W33</f>
        <v>1461411.298</v>
      </c>
      <c r="X33" s="58">
        <f>+'Tuition-4Yr'!X33+'State Appropriations-4Yr'!X33+'Local Appropriations-4Yr'!X33+'Fed Contracts Grnts-4Yr'!X33+'Other Contract Grnts-4Yr'!X33+'Investment Income-4Yr'!X33+'All Other E&amp;G-4Yr'!X33</f>
        <v>1527424.3190000001</v>
      </c>
      <c r="Y33" s="58">
        <f>+'Tuition-4Yr'!Y33+'State Appropriations-4Yr'!Y33+'Local Appropriations-4Yr'!Y33+'Fed Contracts Grnts-4Yr'!Y33+'Other Contract Grnts-4Yr'!Y33+'Investment Income-4Yr'!Y33+'All Other E&amp;G-4Yr'!Y33</f>
        <v>1654289.9580000001</v>
      </c>
      <c r="Z33" s="58">
        <f>+'Tuition-4Yr'!Z33+'State Appropriations-4Yr'!Z33+'Local Appropriations-4Yr'!Z33+'Fed Contracts Grnts-4Yr'!Z33+'Other Contract Grnts-4Yr'!Z33+'Investment Income-4Yr'!Z33+'All Other E&amp;G-4Yr'!Z33</f>
        <v>1728677.0019999999</v>
      </c>
      <c r="AA33" s="58">
        <f>+'Tuition-4Yr'!AA33+'State Appropriations-4Yr'!AA33+'Local Appropriations-4Yr'!AA33+'Fed Contracts Grnts-4Yr'!AA33+'Other Contract Grnts-4Yr'!AA33+'Investment Income-4Yr'!AA33+'All Other E&amp;G-4Yr'!AA33</f>
        <v>1631042.4680000001</v>
      </c>
      <c r="AB33" s="58">
        <f>+'Tuition-4Yr'!AB33+'State Appropriations-4Yr'!AB33+'Local Appropriations-4Yr'!AB33+'Fed Contracts Grnts-4Yr'!AB33+'Other Contract Grnts-4Yr'!AB33+'Investment Income-4Yr'!AB33+'All Other E&amp;G-4Yr'!AB33</f>
        <v>1858112.5409999997</v>
      </c>
      <c r="AC33" s="58">
        <f>+'Tuition-4Yr'!AC33+'State Appropriations-4Yr'!AC33+'Local Appropriations-4Yr'!AC33+'Fed Contracts Grnts-4Yr'!AC33+'Other Contract Grnts-4Yr'!AC33+'Investment Income-4Yr'!AC33+'All Other E&amp;G-4Yr'!AC33</f>
        <v>2004660</v>
      </c>
      <c r="AD33" s="58">
        <f>+'Tuition-4Yr'!AD33+'State Appropriations-4Yr'!AD33+'Local Appropriations-4Yr'!AD33+'Fed Contracts Grnts-4Yr'!AD33+'Other Contract Grnts-4Yr'!AD33+'Investment Income-4Yr'!AD33+'All Other E&amp;G-4Yr'!AD33</f>
        <v>1855707.2030000002</v>
      </c>
      <c r="AE33" s="58">
        <f>+'Tuition-4Yr'!AE33+'State Appropriations-4Yr'!AE33+'Local Appropriations-4Yr'!AE33+'Fed Contracts Grnts-4Yr'!AE33+'Other Contract Grnts-4Yr'!AE33+'Investment Income-4Yr'!AE33+'All Other E&amp;G-4Yr'!AE33</f>
        <v>1940743.504</v>
      </c>
      <c r="AF33" s="58">
        <f>+'Tuition-4Yr'!AF33+'State Appropriations-4Yr'!AF33+'Local Appropriations-4Yr'!AF33+'Fed Contracts Grnts-4Yr'!AF33+'Other Contract Grnts-4Yr'!AF33+'Investment Income-4Yr'!AF33+'All Other E&amp;G-4Yr'!AF33</f>
        <v>2033069.1089999997</v>
      </c>
      <c r="AG33" s="58">
        <f>+'Tuition-4Yr'!AG33+'State Appropriations-4Yr'!AG33+'Local Appropriations-4Yr'!AG33+'Fed Contracts Grnts-4Yr'!AG33+'Other Contract Grnts-4Yr'!AG33+'Investment Income-4Yr'!AG33+'All Other E&amp;G-4Yr'!AG33</f>
        <v>1998611.33</v>
      </c>
      <c r="AH33" s="58">
        <f>+'Tuition-4Yr'!AH33+'State Appropriations-4Yr'!AH33+'Local Appropriations-4Yr'!AH33+'Fed Contracts Grnts-4Yr'!AH33+'Other Contract Grnts-4Yr'!AH33+'Investment Income-4Yr'!AH33+'All Other E&amp;G-4Yr'!AH33</f>
        <v>2012299.4820000001</v>
      </c>
      <c r="AI33" s="58">
        <f>+'Tuition-4Yr'!AI33+'State Appropriations-4Yr'!AI33+'Local Appropriations-4Yr'!AI33+'Fed Contracts Grnts-4Yr'!AI33+'Other Contract Grnts-4Yr'!AI33+'Investment Income-4Yr'!AI33+'All Other E&amp;G-4Yr'!AI33</f>
        <v>1939973.6010000003</v>
      </c>
      <c r="AJ33" s="58">
        <f>+'Tuition-4Yr'!AJ33+'State Appropriations-4Yr'!AJ33+'Local Appropriations-4Yr'!AJ33+'Fed Contracts Grnts-4Yr'!AJ33+'Other Contract Grnts-4Yr'!AJ33+'Investment Income-4Yr'!AJ33+'All Other E&amp;G-4Yr'!AJ33</f>
        <v>0</v>
      </c>
      <c r="AK33" s="58">
        <f>+'Tuition-4Yr'!AK33+'State Appropriations-4Yr'!AK33+'Local Appropriations-4Yr'!AK33+'Fed Contracts Grnts-4Yr'!AK33+'Other Contract Grnts-4Yr'!AK33+'Investment Income-4Yr'!AK33+'All Other E&amp;G-4Yr'!AK33</f>
        <v>2027805.6430000004</v>
      </c>
    </row>
    <row r="34" spans="1:37" ht="12.75" customHeight="1">
      <c r="A34" s="1" t="s">
        <v>47</v>
      </c>
      <c r="B34" s="58">
        <f>+'Tuition-4Yr'!B34+'State Appropriations-4Yr'!B34+'Local Appropriations-4Yr'!B34+'Fed Contracts Grnts-4Yr'!B34+'Other Contract Grnts-4Yr'!B34+'Investment Income-4Yr'!B34+'All Other E&amp;G-4Yr'!B34</f>
        <v>0</v>
      </c>
      <c r="C34" s="58">
        <f>+'Tuition-4Yr'!C34+'State Appropriations-4Yr'!C34+'Local Appropriations-4Yr'!C34+'Fed Contracts Grnts-4Yr'!C34+'Other Contract Grnts-4Yr'!C34+'Investment Income-4Yr'!C34+'All Other E&amp;G-4Yr'!C34</f>
        <v>0</v>
      </c>
      <c r="D34" s="58">
        <f>+'Tuition-4Yr'!D34+'State Appropriations-4Yr'!D34+'Local Appropriations-4Yr'!D34+'Fed Contracts Grnts-4Yr'!D34+'Other Contract Grnts-4Yr'!D34+'Investment Income-4Yr'!D34+'All Other E&amp;G-4Yr'!D34</f>
        <v>0</v>
      </c>
      <c r="E34" s="58">
        <f>+'Tuition-4Yr'!E34+'State Appropriations-4Yr'!E34+'Local Appropriations-4Yr'!E34+'Fed Contracts Grnts-4Yr'!E34+'Other Contract Grnts-4Yr'!E34+'Investment Income-4Yr'!E34+'All Other E&amp;G-4Yr'!E34</f>
        <v>0</v>
      </c>
      <c r="F34" s="58">
        <f>+'Tuition-4Yr'!F34+'State Appropriations-4Yr'!F34+'Local Appropriations-4Yr'!F34+'Fed Contracts Grnts-4Yr'!F34+'Other Contract Grnts-4Yr'!F34+'Investment Income-4Yr'!F34+'All Other E&amp;G-4Yr'!F34</f>
        <v>0</v>
      </c>
      <c r="G34" s="58">
        <f>+'Tuition-4Yr'!G34+'State Appropriations-4Yr'!G34+'Local Appropriations-4Yr'!G34+'Fed Contracts Grnts-4Yr'!G34+'Other Contract Grnts-4Yr'!G34+'Investment Income-4Yr'!G34+'All Other E&amp;G-4Yr'!G34</f>
        <v>0</v>
      </c>
      <c r="H34" s="58">
        <f>+'Tuition-4Yr'!H34+'State Appropriations-4Yr'!H34+'Local Appropriations-4Yr'!H34+'Fed Contracts Grnts-4Yr'!H34+'Other Contract Grnts-4Yr'!H34+'Investment Income-4Yr'!H34+'All Other E&amp;G-4Yr'!H34</f>
        <v>0</v>
      </c>
      <c r="I34" s="58">
        <f>+'Tuition-4Yr'!I34+'State Appropriations-4Yr'!I34+'Local Appropriations-4Yr'!I34+'Fed Contracts Grnts-4Yr'!I34+'Other Contract Grnts-4Yr'!I34+'Investment Income-4Yr'!I34+'All Other E&amp;G-4Yr'!I34</f>
        <v>0</v>
      </c>
      <c r="J34" s="58">
        <f>+'Tuition-4Yr'!J34+'State Appropriations-4Yr'!J34+'Local Appropriations-4Yr'!J34+'Fed Contracts Grnts-4Yr'!J34+'Other Contract Grnts-4Yr'!J34+'Investment Income-4Yr'!J34+'All Other E&amp;G-4Yr'!J34</f>
        <v>800827.02499999991</v>
      </c>
      <c r="K34" s="58">
        <f>+'Tuition-4Yr'!K34+'State Appropriations-4Yr'!K34+'Local Appropriations-4Yr'!K34+'Fed Contracts Grnts-4Yr'!K34+'Other Contract Grnts-4Yr'!K34+'Investment Income-4Yr'!K34+'All Other E&amp;G-4Yr'!K34</f>
        <v>0</v>
      </c>
      <c r="L34" s="58">
        <f>+'Tuition-4Yr'!L34+'State Appropriations-4Yr'!L34+'Local Appropriations-4Yr'!L34+'Fed Contracts Grnts-4Yr'!L34+'Other Contract Grnts-4Yr'!L34+'Investment Income-4Yr'!L34+'All Other E&amp;G-4Yr'!L34</f>
        <v>0</v>
      </c>
      <c r="M34" s="58">
        <f>+'Tuition-4Yr'!M34+'State Appropriations-4Yr'!M34+'Local Appropriations-4Yr'!M34+'Fed Contracts Grnts-4Yr'!M34+'Other Contract Grnts-4Yr'!M34+'Investment Income-4Yr'!M34+'All Other E&amp;G-4Yr'!M34</f>
        <v>936140.29899999988</v>
      </c>
      <c r="N34" s="58">
        <f>+'Tuition-4Yr'!N34+'State Appropriations-4Yr'!N34+'Local Appropriations-4Yr'!N34+'Fed Contracts Grnts-4Yr'!N34+'Other Contract Grnts-4Yr'!N34+'Investment Income-4Yr'!N34+'All Other E&amp;G-4Yr'!N34</f>
        <v>0</v>
      </c>
      <c r="O34" s="58">
        <f>+'Tuition-4Yr'!O34+'State Appropriations-4Yr'!O34+'Local Appropriations-4Yr'!O34+'Fed Contracts Grnts-4Yr'!O34+'Other Contract Grnts-4Yr'!O34+'Investment Income-4Yr'!O34+'All Other E&amp;G-4Yr'!O34</f>
        <v>1070804.1639999999</v>
      </c>
      <c r="P34" s="58">
        <f>+'Tuition-4Yr'!P34+'State Appropriations-4Yr'!P34+'Local Appropriations-4Yr'!P34+'Fed Contracts Grnts-4Yr'!P34+'Other Contract Grnts-4Yr'!P34+'Investment Income-4Yr'!P34+'All Other E&amp;G-4Yr'!P34</f>
        <v>0</v>
      </c>
      <c r="Q34" s="58">
        <f>+'Tuition-4Yr'!Q34+'State Appropriations-4Yr'!Q34+'Local Appropriations-4Yr'!Q34+'Fed Contracts Grnts-4Yr'!Q34+'Other Contract Grnts-4Yr'!Q34+'Investment Income-4Yr'!Q34+'All Other E&amp;G-4Yr'!Q34</f>
        <v>0</v>
      </c>
      <c r="R34" s="58">
        <f>+'Tuition-4Yr'!R34+'State Appropriations-4Yr'!R34+'Local Appropriations-4Yr'!R34+'Fed Contracts Grnts-4Yr'!R34+'Other Contract Grnts-4Yr'!R34+'Investment Income-4Yr'!R34+'All Other E&amp;G-4Yr'!R34</f>
        <v>1371811.8020000001</v>
      </c>
      <c r="S34" s="58">
        <f>+'Tuition-4Yr'!S34+'State Appropriations-4Yr'!S34+'Local Appropriations-4Yr'!S34+'Fed Contracts Grnts-4Yr'!S34+'Other Contract Grnts-4Yr'!S34+'Investment Income-4Yr'!S34+'All Other E&amp;G-4Yr'!S34</f>
        <v>1470766.7410000002</v>
      </c>
      <c r="T34" s="58">
        <f>+'Tuition-4Yr'!T34+'State Appropriations-4Yr'!T34+'Local Appropriations-4Yr'!T34+'Fed Contracts Grnts-4Yr'!T34+'Other Contract Grnts-4Yr'!T34+'Investment Income-4Yr'!T34+'All Other E&amp;G-4Yr'!T34</f>
        <v>1770621.9270000001</v>
      </c>
      <c r="U34" s="58">
        <f>+'Tuition-4Yr'!U34+'State Appropriations-4Yr'!U34+'Local Appropriations-4Yr'!U34+'Fed Contracts Grnts-4Yr'!U34+'Other Contract Grnts-4Yr'!U34+'Investment Income-4Yr'!U34+'All Other E&amp;G-4Yr'!U34</f>
        <v>1786280.3729999999</v>
      </c>
      <c r="V34" s="58">
        <f>+'Tuition-4Yr'!V34+'State Appropriations-4Yr'!V34+'Local Appropriations-4Yr'!V34+'Fed Contracts Grnts-4Yr'!V34+'Other Contract Grnts-4Yr'!V34+'Investment Income-4Yr'!V34+'All Other E&amp;G-4Yr'!V34</f>
        <v>1796700.3330000001</v>
      </c>
      <c r="W34" s="58">
        <f>+'Tuition-4Yr'!W34+'State Appropriations-4Yr'!W34+'Local Appropriations-4Yr'!W34+'Fed Contracts Grnts-4Yr'!W34+'Other Contract Grnts-4Yr'!W34+'Investment Income-4Yr'!W34+'All Other E&amp;G-4Yr'!W34</f>
        <v>2022075.06</v>
      </c>
      <c r="X34" s="58">
        <f>+'Tuition-4Yr'!X34+'State Appropriations-4Yr'!X34+'Local Appropriations-4Yr'!X34+'Fed Contracts Grnts-4Yr'!X34+'Other Contract Grnts-4Yr'!X34+'Investment Income-4Yr'!X34+'All Other E&amp;G-4Yr'!X34</f>
        <v>2051916.371</v>
      </c>
      <c r="Y34" s="58">
        <f>+'Tuition-4Yr'!Y34+'State Appropriations-4Yr'!Y34+'Local Appropriations-4Yr'!Y34+'Fed Contracts Grnts-4Yr'!Y34+'Other Contract Grnts-4Yr'!Y34+'Investment Income-4Yr'!Y34+'All Other E&amp;G-4Yr'!Y34</f>
        <v>2164957.2539999997</v>
      </c>
      <c r="Z34" s="58">
        <f>+'Tuition-4Yr'!Z34+'State Appropriations-4Yr'!Z34+'Local Appropriations-4Yr'!Z34+'Fed Contracts Grnts-4Yr'!Z34+'Other Contract Grnts-4Yr'!Z34+'Investment Income-4Yr'!Z34+'All Other E&amp;G-4Yr'!Z34</f>
        <v>2112240.0520000001</v>
      </c>
      <c r="AA34" s="58">
        <f>+'Tuition-4Yr'!AA34+'State Appropriations-4Yr'!AA34+'Local Appropriations-4Yr'!AA34+'Fed Contracts Grnts-4Yr'!AA34+'Other Contract Grnts-4Yr'!AA34+'Investment Income-4Yr'!AA34+'All Other E&amp;G-4Yr'!AA34</f>
        <v>1603832.4520000003</v>
      </c>
      <c r="AB34" s="58">
        <f>+'Tuition-4Yr'!AB34+'State Appropriations-4Yr'!AB34+'Local Appropriations-4Yr'!AB34+'Fed Contracts Grnts-4Yr'!AB34+'Other Contract Grnts-4Yr'!AB34+'Investment Income-4Yr'!AB34+'All Other E&amp;G-4Yr'!AB34</f>
        <v>2540240.7160000005</v>
      </c>
      <c r="AC34" s="58">
        <f>+'Tuition-4Yr'!AC34+'State Appropriations-4Yr'!AC34+'Local Appropriations-4Yr'!AC34+'Fed Contracts Grnts-4Yr'!AC34+'Other Contract Grnts-4Yr'!AC34+'Investment Income-4Yr'!AC34+'All Other E&amp;G-4Yr'!AC34</f>
        <v>2733871</v>
      </c>
      <c r="AD34" s="58">
        <f>+'Tuition-4Yr'!AD34+'State Appropriations-4Yr'!AD34+'Local Appropriations-4Yr'!AD34+'Fed Contracts Grnts-4Yr'!AD34+'Other Contract Grnts-4Yr'!AD34+'Investment Income-4Yr'!AD34+'All Other E&amp;G-4Yr'!AD34</f>
        <v>2652235.1070000003</v>
      </c>
      <c r="AE34" s="58">
        <f>+'Tuition-4Yr'!AE34+'State Appropriations-4Yr'!AE34+'Local Appropriations-4Yr'!AE34+'Fed Contracts Grnts-4Yr'!AE34+'Other Contract Grnts-4Yr'!AE34+'Investment Income-4Yr'!AE34+'All Other E&amp;G-4Yr'!AE34</f>
        <v>2867178.1130000004</v>
      </c>
      <c r="AF34" s="58">
        <f>+'Tuition-4Yr'!AF34+'State Appropriations-4Yr'!AF34+'Local Appropriations-4Yr'!AF34+'Fed Contracts Grnts-4Yr'!AF34+'Other Contract Grnts-4Yr'!AF34+'Investment Income-4Yr'!AF34+'All Other E&amp;G-4Yr'!AF34</f>
        <v>2940257.4560000002</v>
      </c>
      <c r="AG34" s="58">
        <f>+'Tuition-4Yr'!AG34+'State Appropriations-4Yr'!AG34+'Local Appropriations-4Yr'!AG34+'Fed Contracts Grnts-4Yr'!AG34+'Other Contract Grnts-4Yr'!AG34+'Investment Income-4Yr'!AG34+'All Other E&amp;G-4Yr'!AG34</f>
        <v>3482457.8629999999</v>
      </c>
      <c r="AH34" s="58">
        <f>+'Tuition-4Yr'!AH34+'State Appropriations-4Yr'!AH34+'Local Appropriations-4Yr'!AH34+'Fed Contracts Grnts-4Yr'!AH34+'Other Contract Grnts-4Yr'!AH34+'Investment Income-4Yr'!AH34+'All Other E&amp;G-4Yr'!AH34</f>
        <v>3592546.7680000002</v>
      </c>
      <c r="AI34" s="58">
        <f>+'Tuition-4Yr'!AI34+'State Appropriations-4Yr'!AI34+'Local Appropriations-4Yr'!AI34+'Fed Contracts Grnts-4Yr'!AI34+'Other Contract Grnts-4Yr'!AI34+'Investment Income-4Yr'!AI34+'All Other E&amp;G-4Yr'!AI34</f>
        <v>3334591.9009999996</v>
      </c>
      <c r="AJ34" s="58">
        <f>+'Tuition-4Yr'!AJ34+'State Appropriations-4Yr'!AJ34+'Local Appropriations-4Yr'!AJ34+'Fed Contracts Grnts-4Yr'!AJ34+'Other Contract Grnts-4Yr'!AJ34+'Investment Income-4Yr'!AJ34+'All Other E&amp;G-4Yr'!AJ34</f>
        <v>0</v>
      </c>
      <c r="AK34" s="58">
        <f>+'Tuition-4Yr'!AK34+'State Appropriations-4Yr'!AK34+'Local Appropriations-4Yr'!AK34+'Fed Contracts Grnts-4Yr'!AK34+'Other Contract Grnts-4Yr'!AK34+'Investment Income-4Yr'!AK34+'All Other E&amp;G-4Yr'!AK34</f>
        <v>3852489.966</v>
      </c>
    </row>
    <row r="35" spans="1:37" ht="12.75" customHeight="1">
      <c r="A35" s="1" t="s">
        <v>48</v>
      </c>
      <c r="B35" s="58">
        <f>+'Tuition-4Yr'!B35+'State Appropriations-4Yr'!B35+'Local Appropriations-4Yr'!B35+'Fed Contracts Grnts-4Yr'!B35+'Other Contract Grnts-4Yr'!B35+'Investment Income-4Yr'!B35+'All Other E&amp;G-4Yr'!B35</f>
        <v>0</v>
      </c>
      <c r="C35" s="58">
        <f>+'Tuition-4Yr'!C35+'State Appropriations-4Yr'!C35+'Local Appropriations-4Yr'!C35+'Fed Contracts Grnts-4Yr'!C35+'Other Contract Grnts-4Yr'!C35+'Investment Income-4Yr'!C35+'All Other E&amp;G-4Yr'!C35</f>
        <v>0</v>
      </c>
      <c r="D35" s="58">
        <f>+'Tuition-4Yr'!D35+'State Appropriations-4Yr'!D35+'Local Appropriations-4Yr'!D35+'Fed Contracts Grnts-4Yr'!D35+'Other Contract Grnts-4Yr'!D35+'Investment Income-4Yr'!D35+'All Other E&amp;G-4Yr'!D35</f>
        <v>0</v>
      </c>
      <c r="E35" s="58">
        <f>+'Tuition-4Yr'!E35+'State Appropriations-4Yr'!E35+'Local Appropriations-4Yr'!E35+'Fed Contracts Grnts-4Yr'!E35+'Other Contract Grnts-4Yr'!E35+'Investment Income-4Yr'!E35+'All Other E&amp;G-4Yr'!E35</f>
        <v>0</v>
      </c>
      <c r="F35" s="58">
        <f>+'Tuition-4Yr'!F35+'State Appropriations-4Yr'!F35+'Local Appropriations-4Yr'!F35+'Fed Contracts Grnts-4Yr'!F35+'Other Contract Grnts-4Yr'!F35+'Investment Income-4Yr'!F35+'All Other E&amp;G-4Yr'!F35</f>
        <v>0</v>
      </c>
      <c r="G35" s="58">
        <f>+'Tuition-4Yr'!G35+'State Appropriations-4Yr'!G35+'Local Appropriations-4Yr'!G35+'Fed Contracts Grnts-4Yr'!G35+'Other Contract Grnts-4Yr'!G35+'Investment Income-4Yr'!G35+'All Other E&amp;G-4Yr'!G35</f>
        <v>0</v>
      </c>
      <c r="H35" s="58">
        <f>+'Tuition-4Yr'!H35+'State Appropriations-4Yr'!H35+'Local Appropriations-4Yr'!H35+'Fed Contracts Grnts-4Yr'!H35+'Other Contract Grnts-4Yr'!H35+'Investment Income-4Yr'!H35+'All Other E&amp;G-4Yr'!H35</f>
        <v>0</v>
      </c>
      <c r="I35" s="58">
        <f>+'Tuition-4Yr'!I35+'State Appropriations-4Yr'!I35+'Local Appropriations-4Yr'!I35+'Fed Contracts Grnts-4Yr'!I35+'Other Contract Grnts-4Yr'!I35+'Investment Income-4Yr'!I35+'All Other E&amp;G-4Yr'!I35</f>
        <v>0</v>
      </c>
      <c r="J35" s="58">
        <f>+'Tuition-4Yr'!J35+'State Appropriations-4Yr'!J35+'Local Appropriations-4Yr'!J35+'Fed Contracts Grnts-4Yr'!J35+'Other Contract Grnts-4Yr'!J35+'Investment Income-4Yr'!J35+'All Other E&amp;G-4Yr'!J35</f>
        <v>778974.66500000004</v>
      </c>
      <c r="K35" s="58">
        <f>+'Tuition-4Yr'!K35+'State Appropriations-4Yr'!K35+'Local Appropriations-4Yr'!K35+'Fed Contracts Grnts-4Yr'!K35+'Other Contract Grnts-4Yr'!K35+'Investment Income-4Yr'!K35+'All Other E&amp;G-4Yr'!K35</f>
        <v>0</v>
      </c>
      <c r="L35" s="58">
        <f>+'Tuition-4Yr'!L35+'State Appropriations-4Yr'!L35+'Local Appropriations-4Yr'!L35+'Fed Contracts Grnts-4Yr'!L35+'Other Contract Grnts-4Yr'!L35+'Investment Income-4Yr'!L35+'All Other E&amp;G-4Yr'!L35</f>
        <v>0</v>
      </c>
      <c r="M35" s="58">
        <f>+'Tuition-4Yr'!M35+'State Appropriations-4Yr'!M35+'Local Appropriations-4Yr'!M35+'Fed Contracts Grnts-4Yr'!M35+'Other Contract Grnts-4Yr'!M35+'Investment Income-4Yr'!M35+'All Other E&amp;G-4Yr'!M35</f>
        <v>948018.43199999991</v>
      </c>
      <c r="N35" s="58">
        <f>+'Tuition-4Yr'!N35+'State Appropriations-4Yr'!N35+'Local Appropriations-4Yr'!N35+'Fed Contracts Grnts-4Yr'!N35+'Other Contract Grnts-4Yr'!N35+'Investment Income-4Yr'!N35+'All Other E&amp;G-4Yr'!N35</f>
        <v>0</v>
      </c>
      <c r="O35" s="58">
        <f>+'Tuition-4Yr'!O35+'State Appropriations-4Yr'!O35+'Local Appropriations-4Yr'!O35+'Fed Contracts Grnts-4Yr'!O35+'Other Contract Grnts-4Yr'!O35+'Investment Income-4Yr'!O35+'All Other E&amp;G-4Yr'!O35</f>
        <v>1073113.1170000001</v>
      </c>
      <c r="P35" s="58">
        <f>+'Tuition-4Yr'!P35+'State Appropriations-4Yr'!P35+'Local Appropriations-4Yr'!P35+'Fed Contracts Grnts-4Yr'!P35+'Other Contract Grnts-4Yr'!P35+'Investment Income-4Yr'!P35+'All Other E&amp;G-4Yr'!P35</f>
        <v>0</v>
      </c>
      <c r="Q35" s="58">
        <f>+'Tuition-4Yr'!Q35+'State Appropriations-4Yr'!Q35+'Local Appropriations-4Yr'!Q35+'Fed Contracts Grnts-4Yr'!Q35+'Other Contract Grnts-4Yr'!Q35+'Investment Income-4Yr'!Q35+'All Other E&amp;G-4Yr'!Q35</f>
        <v>0</v>
      </c>
      <c r="R35" s="58">
        <f>+'Tuition-4Yr'!R35+'State Appropriations-4Yr'!R35+'Local Appropriations-4Yr'!R35+'Fed Contracts Grnts-4Yr'!R35+'Other Contract Grnts-4Yr'!R35+'Investment Income-4Yr'!R35+'All Other E&amp;G-4Yr'!R35</f>
        <v>1356331.9370000002</v>
      </c>
      <c r="S35" s="58">
        <f>+'Tuition-4Yr'!S35+'State Appropriations-4Yr'!S35+'Local Appropriations-4Yr'!S35+'Fed Contracts Grnts-4Yr'!S35+'Other Contract Grnts-4Yr'!S35+'Investment Income-4Yr'!S35+'All Other E&amp;G-4Yr'!S35</f>
        <v>1473378.5249999999</v>
      </c>
      <c r="T35" s="58">
        <f>+'Tuition-4Yr'!T35+'State Appropriations-4Yr'!T35+'Local Appropriations-4Yr'!T35+'Fed Contracts Grnts-4Yr'!T35+'Other Contract Grnts-4Yr'!T35+'Investment Income-4Yr'!T35+'All Other E&amp;G-4Yr'!T35</f>
        <v>1698289.31</v>
      </c>
      <c r="U35" s="58">
        <f>+'Tuition-4Yr'!U35+'State Appropriations-4Yr'!U35+'Local Appropriations-4Yr'!U35+'Fed Contracts Grnts-4Yr'!U35+'Other Contract Grnts-4Yr'!U35+'Investment Income-4Yr'!U35+'All Other E&amp;G-4Yr'!U35</f>
        <v>1744261.9110000001</v>
      </c>
      <c r="V35" s="58">
        <f>+'Tuition-4Yr'!V35+'State Appropriations-4Yr'!V35+'Local Appropriations-4Yr'!V35+'Fed Contracts Grnts-4Yr'!V35+'Other Contract Grnts-4Yr'!V35+'Investment Income-4Yr'!V35+'All Other E&amp;G-4Yr'!V35</f>
        <v>1735731.1310000001</v>
      </c>
      <c r="W35" s="58">
        <f>+'Tuition-4Yr'!W35+'State Appropriations-4Yr'!W35+'Local Appropriations-4Yr'!W35+'Fed Contracts Grnts-4Yr'!W35+'Other Contract Grnts-4Yr'!W35+'Investment Income-4Yr'!W35+'All Other E&amp;G-4Yr'!W35</f>
        <v>1970105.8890000002</v>
      </c>
      <c r="X35" s="58">
        <f>+'Tuition-4Yr'!X35+'State Appropriations-4Yr'!X35+'Local Appropriations-4Yr'!X35+'Fed Contracts Grnts-4Yr'!X35+'Other Contract Grnts-4Yr'!X35+'Investment Income-4Yr'!X35+'All Other E&amp;G-4Yr'!X35</f>
        <v>2060409.9539999999</v>
      </c>
      <c r="Y35" s="58">
        <f>+'Tuition-4Yr'!Y35+'State Appropriations-4Yr'!Y35+'Local Appropriations-4Yr'!Y35+'Fed Contracts Grnts-4Yr'!Y35+'Other Contract Grnts-4Yr'!Y35+'Investment Income-4Yr'!Y35+'All Other E&amp;G-4Yr'!Y35</f>
        <v>2291900.7369999997</v>
      </c>
      <c r="Z35" s="58">
        <f>+'Tuition-4Yr'!Z35+'State Appropriations-4Yr'!Z35+'Local Appropriations-4Yr'!Z35+'Fed Contracts Grnts-4Yr'!Z35+'Other Contract Grnts-4Yr'!Z35+'Investment Income-4Yr'!Z35+'All Other E&amp;G-4Yr'!Z35</f>
        <v>1804248.2119999998</v>
      </c>
      <c r="AA35" s="58">
        <f>+'Tuition-4Yr'!AA35+'State Appropriations-4Yr'!AA35+'Local Appropriations-4Yr'!AA35+'Fed Contracts Grnts-4Yr'!AA35+'Other Contract Grnts-4Yr'!AA35+'Investment Income-4Yr'!AA35+'All Other E&amp;G-4Yr'!AA35</f>
        <v>1790092.7470000002</v>
      </c>
      <c r="AB35" s="58">
        <f>+'Tuition-4Yr'!AB35+'State Appropriations-4Yr'!AB35+'Local Appropriations-4Yr'!AB35+'Fed Contracts Grnts-4Yr'!AB35+'Other Contract Grnts-4Yr'!AB35+'Investment Income-4Yr'!AB35+'All Other E&amp;G-4Yr'!AB35</f>
        <v>2281032.7590000001</v>
      </c>
      <c r="AC35" s="58">
        <f>+'Tuition-4Yr'!AC35+'State Appropriations-4Yr'!AC35+'Local Appropriations-4Yr'!AC35+'Fed Contracts Grnts-4Yr'!AC35+'Other Contract Grnts-4Yr'!AC35+'Investment Income-4Yr'!AC35+'All Other E&amp;G-4Yr'!AC35</f>
        <v>2572961</v>
      </c>
      <c r="AD35" s="58">
        <f>+'Tuition-4Yr'!AD35+'State Appropriations-4Yr'!AD35+'Local Appropriations-4Yr'!AD35+'Fed Contracts Grnts-4Yr'!AD35+'Other Contract Grnts-4Yr'!AD35+'Investment Income-4Yr'!AD35+'All Other E&amp;G-4Yr'!AD35</f>
        <v>2580612.0529999998</v>
      </c>
      <c r="AE35" s="58">
        <f>+'Tuition-4Yr'!AE35+'State Appropriations-4Yr'!AE35+'Local Appropriations-4Yr'!AE35+'Fed Contracts Grnts-4Yr'!AE35+'Other Contract Grnts-4Yr'!AE35+'Investment Income-4Yr'!AE35+'All Other E&amp;G-4Yr'!AE35</f>
        <v>2622290.4139999999</v>
      </c>
      <c r="AF35" s="58">
        <f>+'Tuition-4Yr'!AF35+'State Appropriations-4Yr'!AF35+'Local Appropriations-4Yr'!AF35+'Fed Contracts Grnts-4Yr'!AF35+'Other Contract Grnts-4Yr'!AF35+'Investment Income-4Yr'!AF35+'All Other E&amp;G-4Yr'!AF35</f>
        <v>2493310.0989999999</v>
      </c>
      <c r="AG35" s="58">
        <f>+'Tuition-4Yr'!AG35+'State Appropriations-4Yr'!AG35+'Local Appropriations-4Yr'!AG35+'Fed Contracts Grnts-4Yr'!AG35+'Other Contract Grnts-4Yr'!AG35+'Investment Income-4Yr'!AG35+'All Other E&amp;G-4Yr'!AG35</f>
        <v>2908807.7059999998</v>
      </c>
      <c r="AH35" s="58">
        <f>+'Tuition-4Yr'!AH35+'State Appropriations-4Yr'!AH35+'Local Appropriations-4Yr'!AH35+'Fed Contracts Grnts-4Yr'!AH35+'Other Contract Grnts-4Yr'!AH35+'Investment Income-4Yr'!AH35+'All Other E&amp;G-4Yr'!AH35</f>
        <v>3133230.8260000004</v>
      </c>
      <c r="AI35" s="58">
        <f>+'Tuition-4Yr'!AI35+'State Appropriations-4Yr'!AI35+'Local Appropriations-4Yr'!AI35+'Fed Contracts Grnts-4Yr'!AI35+'Other Contract Grnts-4Yr'!AI35+'Investment Income-4Yr'!AI35+'All Other E&amp;G-4Yr'!AI35</f>
        <v>3470943.1429999997</v>
      </c>
      <c r="AJ35" s="58">
        <f>+'Tuition-4Yr'!AJ35+'State Appropriations-4Yr'!AJ35+'Local Appropriations-4Yr'!AJ35+'Fed Contracts Grnts-4Yr'!AJ35+'Other Contract Grnts-4Yr'!AJ35+'Investment Income-4Yr'!AJ35+'All Other E&amp;G-4Yr'!AJ35</f>
        <v>0</v>
      </c>
      <c r="AK35" s="58">
        <f>+'Tuition-4Yr'!AK35+'State Appropriations-4Yr'!AK35+'Local Appropriations-4Yr'!AK35+'Fed Contracts Grnts-4Yr'!AK35+'Other Contract Grnts-4Yr'!AK35+'Investment Income-4Yr'!AK35+'All Other E&amp;G-4Yr'!AK35</f>
        <v>4141221.8739999998</v>
      </c>
    </row>
    <row r="36" spans="1:37" ht="12.75" customHeight="1">
      <c r="A36" s="1" t="s">
        <v>49</v>
      </c>
      <c r="B36" s="58">
        <f>+'Tuition-4Yr'!B36+'State Appropriations-4Yr'!B36+'Local Appropriations-4Yr'!B36+'Fed Contracts Grnts-4Yr'!B36+'Other Contract Grnts-4Yr'!B36+'Investment Income-4Yr'!B36+'All Other E&amp;G-4Yr'!B36</f>
        <v>0</v>
      </c>
      <c r="C36" s="58">
        <f>+'Tuition-4Yr'!C36+'State Appropriations-4Yr'!C36+'Local Appropriations-4Yr'!C36+'Fed Contracts Grnts-4Yr'!C36+'Other Contract Grnts-4Yr'!C36+'Investment Income-4Yr'!C36+'All Other E&amp;G-4Yr'!C36</f>
        <v>0</v>
      </c>
      <c r="D36" s="58">
        <f>+'Tuition-4Yr'!D36+'State Appropriations-4Yr'!D36+'Local Appropriations-4Yr'!D36+'Fed Contracts Grnts-4Yr'!D36+'Other Contract Grnts-4Yr'!D36+'Investment Income-4Yr'!D36+'All Other E&amp;G-4Yr'!D36</f>
        <v>0</v>
      </c>
      <c r="E36" s="58">
        <f>+'Tuition-4Yr'!E36+'State Appropriations-4Yr'!E36+'Local Appropriations-4Yr'!E36+'Fed Contracts Grnts-4Yr'!E36+'Other Contract Grnts-4Yr'!E36+'Investment Income-4Yr'!E36+'All Other E&amp;G-4Yr'!E36</f>
        <v>0</v>
      </c>
      <c r="F36" s="58">
        <f>+'Tuition-4Yr'!F36+'State Appropriations-4Yr'!F36+'Local Appropriations-4Yr'!F36+'Fed Contracts Grnts-4Yr'!F36+'Other Contract Grnts-4Yr'!F36+'Investment Income-4Yr'!F36+'All Other E&amp;G-4Yr'!F36</f>
        <v>0</v>
      </c>
      <c r="G36" s="58">
        <f>+'Tuition-4Yr'!G36+'State Appropriations-4Yr'!G36+'Local Appropriations-4Yr'!G36+'Fed Contracts Grnts-4Yr'!G36+'Other Contract Grnts-4Yr'!G36+'Investment Income-4Yr'!G36+'All Other E&amp;G-4Yr'!G36</f>
        <v>0</v>
      </c>
      <c r="H36" s="58">
        <f>+'Tuition-4Yr'!H36+'State Appropriations-4Yr'!H36+'Local Appropriations-4Yr'!H36+'Fed Contracts Grnts-4Yr'!H36+'Other Contract Grnts-4Yr'!H36+'Investment Income-4Yr'!H36+'All Other E&amp;G-4Yr'!H36</f>
        <v>0</v>
      </c>
      <c r="I36" s="58">
        <f>+'Tuition-4Yr'!I36+'State Appropriations-4Yr'!I36+'Local Appropriations-4Yr'!I36+'Fed Contracts Grnts-4Yr'!I36+'Other Contract Grnts-4Yr'!I36+'Investment Income-4Yr'!I36+'All Other E&amp;G-4Yr'!I36</f>
        <v>0</v>
      </c>
      <c r="J36" s="58">
        <f>+'Tuition-4Yr'!J36+'State Appropriations-4Yr'!J36+'Local Appropriations-4Yr'!J36+'Fed Contracts Grnts-4Yr'!J36+'Other Contract Grnts-4Yr'!J36+'Investment Income-4Yr'!J36+'All Other E&amp;G-4Yr'!J36</f>
        <v>1449324.959</v>
      </c>
      <c r="K36" s="58">
        <f>+'Tuition-4Yr'!K36+'State Appropriations-4Yr'!K36+'Local Appropriations-4Yr'!K36+'Fed Contracts Grnts-4Yr'!K36+'Other Contract Grnts-4Yr'!K36+'Investment Income-4Yr'!K36+'All Other E&amp;G-4Yr'!K36</f>
        <v>0</v>
      </c>
      <c r="L36" s="58">
        <f>+'Tuition-4Yr'!L36+'State Appropriations-4Yr'!L36+'Local Appropriations-4Yr'!L36+'Fed Contracts Grnts-4Yr'!L36+'Other Contract Grnts-4Yr'!L36+'Investment Income-4Yr'!L36+'All Other E&amp;G-4Yr'!L36</f>
        <v>0</v>
      </c>
      <c r="M36" s="58">
        <f>+'Tuition-4Yr'!M36+'State Appropriations-4Yr'!M36+'Local Appropriations-4Yr'!M36+'Fed Contracts Grnts-4Yr'!M36+'Other Contract Grnts-4Yr'!M36+'Investment Income-4Yr'!M36+'All Other E&amp;G-4Yr'!M36</f>
        <v>1641674.9749999999</v>
      </c>
      <c r="N36" s="58">
        <f>+'Tuition-4Yr'!N36+'State Appropriations-4Yr'!N36+'Local Appropriations-4Yr'!N36+'Fed Contracts Grnts-4Yr'!N36+'Other Contract Grnts-4Yr'!N36+'Investment Income-4Yr'!N36+'All Other E&amp;G-4Yr'!N36</f>
        <v>0</v>
      </c>
      <c r="O36" s="58">
        <f>+'Tuition-4Yr'!O36+'State Appropriations-4Yr'!O36+'Local Appropriations-4Yr'!O36+'Fed Contracts Grnts-4Yr'!O36+'Other Contract Grnts-4Yr'!O36+'Investment Income-4Yr'!O36+'All Other E&amp;G-4Yr'!O36</f>
        <v>1828690.692</v>
      </c>
      <c r="P36" s="58">
        <f>+'Tuition-4Yr'!P36+'State Appropriations-4Yr'!P36+'Local Appropriations-4Yr'!P36+'Fed Contracts Grnts-4Yr'!P36+'Other Contract Grnts-4Yr'!P36+'Investment Income-4Yr'!P36+'All Other E&amp;G-4Yr'!P36</f>
        <v>0</v>
      </c>
      <c r="Q36" s="58">
        <f>+'Tuition-4Yr'!Q36+'State Appropriations-4Yr'!Q36+'Local Appropriations-4Yr'!Q36+'Fed Contracts Grnts-4Yr'!Q36+'Other Contract Grnts-4Yr'!Q36+'Investment Income-4Yr'!Q36+'All Other E&amp;G-4Yr'!Q36</f>
        <v>0</v>
      </c>
      <c r="R36" s="58">
        <f>+'Tuition-4Yr'!R36+'State Appropriations-4Yr'!R36+'Local Appropriations-4Yr'!R36+'Fed Contracts Grnts-4Yr'!R36+'Other Contract Grnts-4Yr'!R36+'Investment Income-4Yr'!R36+'All Other E&amp;G-4Yr'!R36</f>
        <v>2185718.8760000002</v>
      </c>
      <c r="S36" s="58">
        <f>+'Tuition-4Yr'!S36+'State Appropriations-4Yr'!S36+'Local Appropriations-4Yr'!S36+'Fed Contracts Grnts-4Yr'!S36+'Other Contract Grnts-4Yr'!S36+'Investment Income-4Yr'!S36+'All Other E&amp;G-4Yr'!S36</f>
        <v>2335603.787</v>
      </c>
      <c r="T36" s="58">
        <f>+'Tuition-4Yr'!T36+'State Appropriations-4Yr'!T36+'Local Appropriations-4Yr'!T36+'Fed Contracts Grnts-4Yr'!T36+'Other Contract Grnts-4Yr'!T36+'Investment Income-4Yr'!T36+'All Other E&amp;G-4Yr'!T36</f>
        <v>2613017.0719999997</v>
      </c>
      <c r="U36" s="58">
        <f>+'Tuition-4Yr'!U36+'State Appropriations-4Yr'!U36+'Local Appropriations-4Yr'!U36+'Fed Contracts Grnts-4Yr'!U36+'Other Contract Grnts-4Yr'!U36+'Investment Income-4Yr'!U36+'All Other E&amp;G-4Yr'!U36</f>
        <v>2810653.5</v>
      </c>
      <c r="V36" s="58">
        <f>+'Tuition-4Yr'!V36+'State Appropriations-4Yr'!V36+'Local Appropriations-4Yr'!V36+'Fed Contracts Grnts-4Yr'!V36+'Other Contract Grnts-4Yr'!V36+'Investment Income-4Yr'!V36+'All Other E&amp;G-4Yr'!V36</f>
        <v>2936988.713</v>
      </c>
      <c r="W36" s="58">
        <f>+'Tuition-4Yr'!W36+'State Appropriations-4Yr'!W36+'Local Appropriations-4Yr'!W36+'Fed Contracts Grnts-4Yr'!W36+'Other Contract Grnts-4Yr'!W36+'Investment Income-4Yr'!W36+'All Other E&amp;G-4Yr'!W36</f>
        <v>3242127.2210000004</v>
      </c>
      <c r="X36" s="58">
        <f>+'Tuition-4Yr'!X36+'State Appropriations-4Yr'!X36+'Local Appropriations-4Yr'!X36+'Fed Contracts Grnts-4Yr'!X36+'Other Contract Grnts-4Yr'!X36+'Investment Income-4Yr'!X36+'All Other E&amp;G-4Yr'!X36</f>
        <v>3366192.1140000001</v>
      </c>
      <c r="Y36" s="58">
        <f>+'Tuition-4Yr'!Y36+'State Appropriations-4Yr'!Y36+'Local Appropriations-4Yr'!Y36+'Fed Contracts Grnts-4Yr'!Y36+'Other Contract Grnts-4Yr'!Y36+'Investment Income-4Yr'!Y36+'All Other E&amp;G-4Yr'!Y36</f>
        <v>3984046.1469999999</v>
      </c>
      <c r="Z36" s="58">
        <f>+'Tuition-4Yr'!Z36+'State Appropriations-4Yr'!Z36+'Local Appropriations-4Yr'!Z36+'Fed Contracts Grnts-4Yr'!Z36+'Other Contract Grnts-4Yr'!Z36+'Investment Income-4Yr'!Z36+'All Other E&amp;G-4Yr'!Z36</f>
        <v>3744542.0110000004</v>
      </c>
      <c r="AA36" s="58">
        <f>+'Tuition-4Yr'!AA36+'State Appropriations-4Yr'!AA36+'Local Appropriations-4Yr'!AA36+'Fed Contracts Grnts-4Yr'!AA36+'Other Contract Grnts-4Yr'!AA36+'Investment Income-4Yr'!AA36+'All Other E&amp;G-4Yr'!AA36</f>
        <v>3226517.6249999995</v>
      </c>
      <c r="AB36" s="58">
        <f>+'Tuition-4Yr'!AB36+'State Appropriations-4Yr'!AB36+'Local Appropriations-4Yr'!AB36+'Fed Contracts Grnts-4Yr'!AB36+'Other Contract Grnts-4Yr'!AB36+'Investment Income-4Yr'!AB36+'All Other E&amp;G-4Yr'!AB36</f>
        <v>4258564.6179999998</v>
      </c>
      <c r="AC36" s="58">
        <f>+'Tuition-4Yr'!AC36+'State Appropriations-4Yr'!AC36+'Local Appropriations-4Yr'!AC36+'Fed Contracts Grnts-4Yr'!AC36+'Other Contract Grnts-4Yr'!AC36+'Investment Income-4Yr'!AC36+'All Other E&amp;G-4Yr'!AC36</f>
        <v>4643208</v>
      </c>
      <c r="AD36" s="58">
        <f>+'Tuition-4Yr'!AD36+'State Appropriations-4Yr'!AD36+'Local Appropriations-4Yr'!AD36+'Fed Contracts Grnts-4Yr'!AD36+'Other Contract Grnts-4Yr'!AD36+'Investment Income-4Yr'!AD36+'All Other E&amp;G-4Yr'!AD36</f>
        <v>4347845.5060000001</v>
      </c>
      <c r="AE36" s="58">
        <f>+'Tuition-4Yr'!AE36+'State Appropriations-4Yr'!AE36+'Local Appropriations-4Yr'!AE36+'Fed Contracts Grnts-4Yr'!AE36+'Other Contract Grnts-4Yr'!AE36+'Investment Income-4Yr'!AE36+'All Other E&amp;G-4Yr'!AE36</f>
        <v>4955914.648</v>
      </c>
      <c r="AF36" s="58">
        <f>+'Tuition-4Yr'!AF36+'State Appropriations-4Yr'!AF36+'Local Appropriations-4Yr'!AF36+'Fed Contracts Grnts-4Yr'!AF36+'Other Contract Grnts-4Yr'!AF36+'Investment Income-4Yr'!AF36+'All Other E&amp;G-4Yr'!AF36</f>
        <v>5073762.3020000001</v>
      </c>
      <c r="AG36" s="58">
        <f>+'Tuition-4Yr'!AG36+'State Appropriations-4Yr'!AG36+'Local Appropriations-4Yr'!AG36+'Fed Contracts Grnts-4Yr'!AG36+'Other Contract Grnts-4Yr'!AG36+'Investment Income-4Yr'!AG36+'All Other E&amp;G-4Yr'!AG36</f>
        <v>5117333.5450000009</v>
      </c>
      <c r="AH36" s="58">
        <f>+'Tuition-4Yr'!AH36+'State Appropriations-4Yr'!AH36+'Local Appropriations-4Yr'!AH36+'Fed Contracts Grnts-4Yr'!AH36+'Other Contract Grnts-4Yr'!AH36+'Investment Income-4Yr'!AH36+'All Other E&amp;G-4Yr'!AH36</f>
        <v>5126866.8260000004</v>
      </c>
      <c r="AI36" s="58">
        <f>+'Tuition-4Yr'!AI36+'State Appropriations-4Yr'!AI36+'Local Appropriations-4Yr'!AI36+'Fed Contracts Grnts-4Yr'!AI36+'Other Contract Grnts-4Yr'!AI36+'Investment Income-4Yr'!AI36+'All Other E&amp;G-4Yr'!AI36</f>
        <v>5761605.186999999</v>
      </c>
      <c r="AJ36" s="58">
        <f>+'Tuition-4Yr'!AJ36+'State Appropriations-4Yr'!AJ36+'Local Appropriations-4Yr'!AJ36+'Fed Contracts Grnts-4Yr'!AJ36+'Other Contract Grnts-4Yr'!AJ36+'Investment Income-4Yr'!AJ36+'All Other E&amp;G-4Yr'!AJ36</f>
        <v>0</v>
      </c>
      <c r="AK36" s="58">
        <f>+'Tuition-4Yr'!AK36+'State Appropriations-4Yr'!AK36+'Local Appropriations-4Yr'!AK36+'Fed Contracts Grnts-4Yr'!AK36+'Other Contract Grnts-4Yr'!AK36+'Investment Income-4Yr'!AK36+'All Other E&amp;G-4Yr'!AK36</f>
        <v>6360516.3059999999</v>
      </c>
    </row>
    <row r="37" spans="1:37" ht="12.75" customHeight="1">
      <c r="A37" s="30" t="s">
        <v>50</v>
      </c>
      <c r="B37" s="62">
        <f>+'Tuition-4Yr'!B37+'State Appropriations-4Yr'!B37+'Local Appropriations-4Yr'!B37+'Fed Contracts Grnts-4Yr'!B37+'Other Contract Grnts-4Yr'!B37+'Investment Income-4Yr'!B37+'All Other E&amp;G-4Yr'!B37</f>
        <v>0</v>
      </c>
      <c r="C37" s="62">
        <f>+'Tuition-4Yr'!C37+'State Appropriations-4Yr'!C37+'Local Appropriations-4Yr'!C37+'Fed Contracts Grnts-4Yr'!C37+'Other Contract Grnts-4Yr'!C37+'Investment Income-4Yr'!C37+'All Other E&amp;G-4Yr'!C37</f>
        <v>0</v>
      </c>
      <c r="D37" s="62">
        <f>+'Tuition-4Yr'!D37+'State Appropriations-4Yr'!D37+'Local Appropriations-4Yr'!D37+'Fed Contracts Grnts-4Yr'!D37+'Other Contract Grnts-4Yr'!D37+'Investment Income-4Yr'!D37+'All Other E&amp;G-4Yr'!D37</f>
        <v>0</v>
      </c>
      <c r="E37" s="62">
        <f>+'Tuition-4Yr'!E37+'State Appropriations-4Yr'!E37+'Local Appropriations-4Yr'!E37+'Fed Contracts Grnts-4Yr'!E37+'Other Contract Grnts-4Yr'!E37+'Investment Income-4Yr'!E37+'All Other E&amp;G-4Yr'!E37</f>
        <v>0</v>
      </c>
      <c r="F37" s="62">
        <f>+'Tuition-4Yr'!F37+'State Appropriations-4Yr'!F37+'Local Appropriations-4Yr'!F37+'Fed Contracts Grnts-4Yr'!F37+'Other Contract Grnts-4Yr'!F37+'Investment Income-4Yr'!F37+'All Other E&amp;G-4Yr'!F37</f>
        <v>0</v>
      </c>
      <c r="G37" s="62">
        <f>+'Tuition-4Yr'!G37+'State Appropriations-4Yr'!G37+'Local Appropriations-4Yr'!G37+'Fed Contracts Grnts-4Yr'!G37+'Other Contract Grnts-4Yr'!G37+'Investment Income-4Yr'!G37+'All Other E&amp;G-4Yr'!G37</f>
        <v>0</v>
      </c>
      <c r="H37" s="62">
        <f>+'Tuition-4Yr'!H37+'State Appropriations-4Yr'!H37+'Local Appropriations-4Yr'!H37+'Fed Contracts Grnts-4Yr'!H37+'Other Contract Grnts-4Yr'!H37+'Investment Income-4Yr'!H37+'All Other E&amp;G-4Yr'!H37</f>
        <v>0</v>
      </c>
      <c r="I37" s="62">
        <f>+'Tuition-4Yr'!I37+'State Appropriations-4Yr'!I37+'Local Appropriations-4Yr'!I37+'Fed Contracts Grnts-4Yr'!I37+'Other Contract Grnts-4Yr'!I37+'Investment Income-4Yr'!I37+'All Other E&amp;G-4Yr'!I37</f>
        <v>0</v>
      </c>
      <c r="J37" s="62">
        <f>+'Tuition-4Yr'!J37+'State Appropriations-4Yr'!J37+'Local Appropriations-4Yr'!J37+'Fed Contracts Grnts-4Yr'!J37+'Other Contract Grnts-4Yr'!J37+'Investment Income-4Yr'!J37+'All Other E&amp;G-4Yr'!J37</f>
        <v>160266.74200000003</v>
      </c>
      <c r="K37" s="62">
        <f>+'Tuition-4Yr'!K37+'State Appropriations-4Yr'!K37+'Local Appropriations-4Yr'!K37+'Fed Contracts Grnts-4Yr'!K37+'Other Contract Grnts-4Yr'!K37+'Investment Income-4Yr'!K37+'All Other E&amp;G-4Yr'!K37</f>
        <v>0</v>
      </c>
      <c r="L37" s="62">
        <f>+'Tuition-4Yr'!L37+'State Appropriations-4Yr'!L37+'Local Appropriations-4Yr'!L37+'Fed Contracts Grnts-4Yr'!L37+'Other Contract Grnts-4Yr'!L37+'Investment Income-4Yr'!L37+'All Other E&amp;G-4Yr'!L37</f>
        <v>0</v>
      </c>
      <c r="M37" s="62">
        <f>+'Tuition-4Yr'!M37+'State Appropriations-4Yr'!M37+'Local Appropriations-4Yr'!M37+'Fed Contracts Grnts-4Yr'!M37+'Other Contract Grnts-4Yr'!M37+'Investment Income-4Yr'!M37+'All Other E&amp;G-4Yr'!M37</f>
        <v>179092.647</v>
      </c>
      <c r="N37" s="62">
        <f>+'Tuition-4Yr'!N37+'State Appropriations-4Yr'!N37+'Local Appropriations-4Yr'!N37+'Fed Contracts Grnts-4Yr'!N37+'Other Contract Grnts-4Yr'!N37+'Investment Income-4Yr'!N37+'All Other E&amp;G-4Yr'!N37</f>
        <v>0</v>
      </c>
      <c r="O37" s="62">
        <f>+'Tuition-4Yr'!O37+'State Appropriations-4Yr'!O37+'Local Appropriations-4Yr'!O37+'Fed Contracts Grnts-4Yr'!O37+'Other Contract Grnts-4Yr'!O37+'Investment Income-4Yr'!O37+'All Other E&amp;G-4Yr'!O37</f>
        <v>184786.26</v>
      </c>
      <c r="P37" s="62">
        <f>+'Tuition-4Yr'!P37+'State Appropriations-4Yr'!P37+'Local Appropriations-4Yr'!P37+'Fed Contracts Grnts-4Yr'!P37+'Other Contract Grnts-4Yr'!P37+'Investment Income-4Yr'!P37+'All Other E&amp;G-4Yr'!P37</f>
        <v>0</v>
      </c>
      <c r="Q37" s="62">
        <f>+'Tuition-4Yr'!Q37+'State Appropriations-4Yr'!Q37+'Local Appropriations-4Yr'!Q37+'Fed Contracts Grnts-4Yr'!Q37+'Other Contract Grnts-4Yr'!Q37+'Investment Income-4Yr'!Q37+'All Other E&amp;G-4Yr'!Q37</f>
        <v>0</v>
      </c>
      <c r="R37" s="62">
        <f>+'Tuition-4Yr'!R37+'State Appropriations-4Yr'!R37+'Local Appropriations-4Yr'!R37+'Fed Contracts Grnts-4Yr'!R37+'Other Contract Grnts-4Yr'!R37+'Investment Income-4Yr'!R37+'All Other E&amp;G-4Yr'!R37</f>
        <v>206781.40900000001</v>
      </c>
      <c r="S37" s="62">
        <f>+'Tuition-4Yr'!S37+'State Appropriations-4Yr'!S37+'Local Appropriations-4Yr'!S37+'Fed Contracts Grnts-4Yr'!S37+'Other Contract Grnts-4Yr'!S37+'Investment Income-4Yr'!S37+'All Other E&amp;G-4Yr'!S37</f>
        <v>230118.079</v>
      </c>
      <c r="T37" s="62">
        <f>+'Tuition-4Yr'!T37+'State Appropriations-4Yr'!T37+'Local Appropriations-4Yr'!T37+'Fed Contracts Grnts-4Yr'!T37+'Other Contract Grnts-4Yr'!T37+'Investment Income-4Yr'!T37+'All Other E&amp;G-4Yr'!T37</f>
        <v>227814.65800000002</v>
      </c>
      <c r="U37" s="62">
        <f>+'Tuition-4Yr'!U37+'State Appropriations-4Yr'!U37+'Local Appropriations-4Yr'!U37+'Fed Contracts Grnts-4Yr'!U37+'Other Contract Grnts-4Yr'!U37+'Investment Income-4Yr'!U37+'All Other E&amp;G-4Yr'!U37</f>
        <v>247752.78699999995</v>
      </c>
      <c r="V37" s="62">
        <f>+'Tuition-4Yr'!V37+'State Appropriations-4Yr'!V37+'Local Appropriations-4Yr'!V37+'Fed Contracts Grnts-4Yr'!V37+'Other Contract Grnts-4Yr'!V37+'Investment Income-4Yr'!V37+'All Other E&amp;G-4Yr'!V37</f>
        <v>267877.71000000002</v>
      </c>
      <c r="W37" s="62">
        <f>+'Tuition-4Yr'!W37+'State Appropriations-4Yr'!W37+'Local Appropriations-4Yr'!W37+'Fed Contracts Grnts-4Yr'!W37+'Other Contract Grnts-4Yr'!W37+'Investment Income-4Yr'!W37+'All Other E&amp;G-4Yr'!W37</f>
        <v>296570.5</v>
      </c>
      <c r="X37" s="62">
        <f>+'Tuition-4Yr'!X37+'State Appropriations-4Yr'!X37+'Local Appropriations-4Yr'!X37+'Fed Contracts Grnts-4Yr'!X37+'Other Contract Grnts-4Yr'!X37+'Investment Income-4Yr'!X37+'All Other E&amp;G-4Yr'!X37</f>
        <v>306881.67700000003</v>
      </c>
      <c r="Y37" s="62">
        <f>+'Tuition-4Yr'!Y37+'State Appropriations-4Yr'!Y37+'Local Appropriations-4Yr'!Y37+'Fed Contracts Grnts-4Yr'!Y37+'Other Contract Grnts-4Yr'!Y37+'Investment Income-4Yr'!Y37+'All Other E&amp;G-4Yr'!Y37</f>
        <v>349355.54599999997</v>
      </c>
      <c r="Z37" s="62">
        <f>+'Tuition-4Yr'!Z37+'State Appropriations-4Yr'!Z37+'Local Appropriations-4Yr'!Z37+'Fed Contracts Grnts-4Yr'!Z37+'Other Contract Grnts-4Yr'!Z37+'Investment Income-4Yr'!Z37+'All Other E&amp;G-4Yr'!Z37</f>
        <v>346559.26699999999</v>
      </c>
      <c r="AA37" s="62">
        <f>+'Tuition-4Yr'!AA37+'State Appropriations-4Yr'!AA37+'Local Appropriations-4Yr'!AA37+'Fed Contracts Grnts-4Yr'!AA37+'Other Contract Grnts-4Yr'!AA37+'Investment Income-4Yr'!AA37+'All Other E&amp;G-4Yr'!AA37</f>
        <v>362807.21400000004</v>
      </c>
      <c r="AB37" s="62">
        <f>+'Tuition-4Yr'!AB37+'State Appropriations-4Yr'!AB37+'Local Appropriations-4Yr'!AB37+'Fed Contracts Grnts-4Yr'!AB37+'Other Contract Grnts-4Yr'!AB37+'Investment Income-4Yr'!AB37+'All Other E&amp;G-4Yr'!AB37</f>
        <v>429552.50899999996</v>
      </c>
      <c r="AC37" s="62">
        <f>+'Tuition-4Yr'!AC37+'State Appropriations-4Yr'!AC37+'Local Appropriations-4Yr'!AC37+'Fed Contracts Grnts-4Yr'!AC37+'Other Contract Grnts-4Yr'!AC37+'Investment Income-4Yr'!AC37+'All Other E&amp;G-4Yr'!AC37</f>
        <v>490896</v>
      </c>
      <c r="AD37" s="62">
        <f>+'Tuition-4Yr'!AD37+'State Appropriations-4Yr'!AD37+'Local Appropriations-4Yr'!AD37+'Fed Contracts Grnts-4Yr'!AD37+'Other Contract Grnts-4Yr'!AD37+'Investment Income-4Yr'!AD37+'All Other E&amp;G-4Yr'!AD37</f>
        <v>472465.804</v>
      </c>
      <c r="AE37" s="62">
        <f>+'Tuition-4Yr'!AE37+'State Appropriations-4Yr'!AE37+'Local Appropriations-4Yr'!AE37+'Fed Contracts Grnts-4Yr'!AE37+'Other Contract Grnts-4Yr'!AE37+'Investment Income-4Yr'!AE37+'All Other E&amp;G-4Yr'!AE37</f>
        <v>503678.14799999999</v>
      </c>
      <c r="AF37" s="62">
        <f>+'Tuition-4Yr'!AF37+'State Appropriations-4Yr'!AF37+'Local Appropriations-4Yr'!AF37+'Fed Contracts Grnts-4Yr'!AF37+'Other Contract Grnts-4Yr'!AF37+'Investment Income-4Yr'!AF37+'All Other E&amp;G-4Yr'!AF37</f>
        <v>466795.49200000003</v>
      </c>
      <c r="AG37" s="62">
        <f>+'Tuition-4Yr'!AG37+'State Appropriations-4Yr'!AG37+'Local Appropriations-4Yr'!AG37+'Fed Contracts Grnts-4Yr'!AG37+'Other Contract Grnts-4Yr'!AG37+'Investment Income-4Yr'!AG37+'All Other E&amp;G-4Yr'!AG37</f>
        <v>506002.11899999995</v>
      </c>
      <c r="AH37" s="62">
        <f>+'Tuition-4Yr'!AH37+'State Appropriations-4Yr'!AH37+'Local Appropriations-4Yr'!AH37+'Fed Contracts Grnts-4Yr'!AH37+'Other Contract Grnts-4Yr'!AH37+'Investment Income-4Yr'!AH37+'All Other E&amp;G-4Yr'!AH37</f>
        <v>570415.31700000004</v>
      </c>
      <c r="AI37" s="62">
        <f>+'Tuition-4Yr'!AI37+'State Appropriations-4Yr'!AI37+'Local Appropriations-4Yr'!AI37+'Fed Contracts Grnts-4Yr'!AI37+'Other Contract Grnts-4Yr'!AI37+'Investment Income-4Yr'!AI37+'All Other E&amp;G-4Yr'!AI37</f>
        <v>555911.44799999997</v>
      </c>
      <c r="AJ37" s="62">
        <f>+'Tuition-4Yr'!AJ37+'State Appropriations-4Yr'!AJ37+'Local Appropriations-4Yr'!AJ37+'Fed Contracts Grnts-4Yr'!AJ37+'Other Contract Grnts-4Yr'!AJ37+'Investment Income-4Yr'!AJ37+'All Other E&amp;G-4Yr'!AJ37</f>
        <v>0</v>
      </c>
      <c r="AK37" s="62">
        <f>+'Tuition-4Yr'!AK37+'State Appropriations-4Yr'!AK37+'Local Appropriations-4Yr'!AK37+'Fed Contracts Grnts-4Yr'!AK37+'Other Contract Grnts-4Yr'!AK37+'Investment Income-4Yr'!AK37+'All Other E&amp;G-4Yr'!AK37</f>
        <v>542330</v>
      </c>
    </row>
    <row r="38" spans="1:37" ht="12.75" customHeight="1">
      <c r="A38" s="6" t="s">
        <v>51</v>
      </c>
      <c r="B38" s="58">
        <f>+'Tuition-4Yr'!B38+'State Appropriations-4Yr'!B38+'Local Appropriations-4Yr'!B38+'Fed Contracts Grnts-4Yr'!B38+'Other Contract Grnts-4Yr'!B38+'Investment Income-4Yr'!B38+'All Other E&amp;G-4Yr'!B38</f>
        <v>0</v>
      </c>
      <c r="C38" s="58">
        <f>+'Tuition-4Yr'!C38+'State Appropriations-4Yr'!C38+'Local Appropriations-4Yr'!C38+'Fed Contracts Grnts-4Yr'!C38+'Other Contract Grnts-4Yr'!C38+'Investment Income-4Yr'!C38+'All Other E&amp;G-4Yr'!C38</f>
        <v>0</v>
      </c>
      <c r="D38" s="58">
        <f>+'Tuition-4Yr'!D38+'State Appropriations-4Yr'!D38+'Local Appropriations-4Yr'!D38+'Fed Contracts Grnts-4Yr'!D38+'Other Contract Grnts-4Yr'!D38+'Investment Income-4Yr'!D38+'All Other E&amp;G-4Yr'!D38</f>
        <v>0</v>
      </c>
      <c r="E38" s="58">
        <f>+'Tuition-4Yr'!E38+'State Appropriations-4Yr'!E38+'Local Appropriations-4Yr'!E38+'Fed Contracts Grnts-4Yr'!E38+'Other Contract Grnts-4Yr'!E38+'Investment Income-4Yr'!E38+'All Other E&amp;G-4Yr'!E38</f>
        <v>0</v>
      </c>
      <c r="F38" s="58">
        <f>+'Tuition-4Yr'!F38+'State Appropriations-4Yr'!F38+'Local Appropriations-4Yr'!F38+'Fed Contracts Grnts-4Yr'!F38+'Other Contract Grnts-4Yr'!F38+'Investment Income-4Yr'!F38+'All Other E&amp;G-4Yr'!F38</f>
        <v>0</v>
      </c>
      <c r="G38" s="58">
        <f>+'Tuition-4Yr'!G38+'State Appropriations-4Yr'!G38+'Local Appropriations-4Yr'!G38+'Fed Contracts Grnts-4Yr'!G38+'Other Contract Grnts-4Yr'!G38+'Investment Income-4Yr'!G38+'All Other E&amp;G-4Yr'!G38</f>
        <v>0</v>
      </c>
      <c r="H38" s="58">
        <f>+'Tuition-4Yr'!H38+'State Appropriations-4Yr'!H38+'Local Appropriations-4Yr'!H38+'Fed Contracts Grnts-4Yr'!H38+'Other Contract Grnts-4Yr'!H38+'Investment Income-4Yr'!H38+'All Other E&amp;G-4Yr'!H38</f>
        <v>0</v>
      </c>
      <c r="I38" s="58">
        <f>+'Tuition-4Yr'!I38+'State Appropriations-4Yr'!I38+'Local Appropriations-4Yr'!I38+'Fed Contracts Grnts-4Yr'!I38+'Other Contract Grnts-4Yr'!I38+'Investment Income-4Yr'!I38+'All Other E&amp;G-4Yr'!I38</f>
        <v>0</v>
      </c>
      <c r="J38" s="58">
        <f>+'Tuition-4Yr'!J38+'State Appropriations-4Yr'!J38+'Local Appropriations-4Yr'!J38+'Fed Contracts Grnts-4Yr'!J38+'Other Contract Grnts-4Yr'!J38+'Investment Income-4Yr'!J38+'All Other E&amp;G-4Yr'!J38</f>
        <v>17309638.938999999</v>
      </c>
      <c r="K38" s="58">
        <f>+'Tuition-4Yr'!K38+'State Appropriations-4Yr'!K38+'Local Appropriations-4Yr'!K38+'Fed Contracts Grnts-4Yr'!K38+'Other Contract Grnts-4Yr'!K38+'Investment Income-4Yr'!K38+'All Other E&amp;G-4Yr'!K38</f>
        <v>0</v>
      </c>
      <c r="L38" s="58">
        <f>+'Tuition-4Yr'!L38+'State Appropriations-4Yr'!L38+'Local Appropriations-4Yr'!L38+'Fed Contracts Grnts-4Yr'!L38+'Other Contract Grnts-4Yr'!L38+'Investment Income-4Yr'!L38+'All Other E&amp;G-4Yr'!L38</f>
        <v>0</v>
      </c>
      <c r="M38" s="58">
        <f>+'Tuition-4Yr'!M38+'State Appropriations-4Yr'!M38+'Local Appropriations-4Yr'!M38+'Fed Contracts Grnts-4Yr'!M38+'Other Contract Grnts-4Yr'!M38+'Investment Income-4Yr'!M38+'All Other E&amp;G-4Yr'!M38</f>
        <v>19487703.546999998</v>
      </c>
      <c r="N38" s="58">
        <f>+'Tuition-4Yr'!N38+'State Appropriations-4Yr'!N38+'Local Appropriations-4Yr'!N38+'Fed Contracts Grnts-4Yr'!N38+'Other Contract Grnts-4Yr'!N38+'Investment Income-4Yr'!N38+'All Other E&amp;G-4Yr'!N38</f>
        <v>0</v>
      </c>
      <c r="O38" s="58">
        <f>+'Tuition-4Yr'!O38+'State Appropriations-4Yr'!O38+'Local Appropriations-4Yr'!O38+'Fed Contracts Grnts-4Yr'!O38+'Other Contract Grnts-4Yr'!O38+'Investment Income-4Yr'!O38+'All Other E&amp;G-4Yr'!O38</f>
        <v>21638793.457819998</v>
      </c>
      <c r="P38" s="58">
        <f>+'Tuition-4Yr'!P38+'State Appropriations-4Yr'!P38+'Local Appropriations-4Yr'!P38+'Fed Contracts Grnts-4Yr'!P38+'Other Contract Grnts-4Yr'!P38+'Investment Income-4Yr'!P38+'All Other E&amp;G-4Yr'!P38</f>
        <v>0</v>
      </c>
      <c r="Q38" s="58">
        <f>+'Tuition-4Yr'!Q38+'State Appropriations-4Yr'!Q38+'Local Appropriations-4Yr'!Q38+'Fed Contracts Grnts-4Yr'!Q38+'Other Contract Grnts-4Yr'!Q38+'Investment Income-4Yr'!Q38+'All Other E&amp;G-4Yr'!Q38</f>
        <v>0</v>
      </c>
      <c r="R38" s="58">
        <f>+'Tuition-4Yr'!R38+'State Appropriations-4Yr'!R38+'Local Appropriations-4Yr'!R38+'Fed Contracts Grnts-4Yr'!R38+'Other Contract Grnts-4Yr'!R38+'Investment Income-4Yr'!R38+'All Other E&amp;G-4Yr'!R38</f>
        <v>25502108.827999998</v>
      </c>
      <c r="S38" s="58">
        <f>+'Tuition-4Yr'!S38+'State Appropriations-4Yr'!S38+'Local Appropriations-4Yr'!S38+'Fed Contracts Grnts-4Yr'!S38+'Other Contract Grnts-4Yr'!S38+'Investment Income-4Yr'!S38+'All Other E&amp;G-4Yr'!S38</f>
        <v>27633721.881000008</v>
      </c>
      <c r="T38" s="58">
        <f>+'Tuition-4Yr'!T38+'State Appropriations-4Yr'!T38+'Local Appropriations-4Yr'!T38+'Fed Contracts Grnts-4Yr'!T38+'Other Contract Grnts-4Yr'!T38+'Investment Income-4Yr'!T38+'All Other E&amp;G-4Yr'!T38</f>
        <v>29050891.111000001</v>
      </c>
      <c r="U38" s="58">
        <f>+'Tuition-4Yr'!U38+'State Appropriations-4Yr'!U38+'Local Appropriations-4Yr'!U38+'Fed Contracts Grnts-4Yr'!U38+'Other Contract Grnts-4Yr'!U38+'Investment Income-4Yr'!U38+'All Other E&amp;G-4Yr'!U38</f>
        <v>29891377.033999998</v>
      </c>
      <c r="V38" s="58">
        <f>+'Tuition-4Yr'!V38+'State Appropriations-4Yr'!V38+'Local Appropriations-4Yr'!V38+'Fed Contracts Grnts-4Yr'!V38+'Other Contract Grnts-4Yr'!V38+'Investment Income-4Yr'!V38+'All Other E&amp;G-4Yr'!V38</f>
        <v>33082028.740999997</v>
      </c>
      <c r="W38" s="58">
        <f>+'Tuition-4Yr'!W38+'State Appropriations-4Yr'!W38+'Local Appropriations-4Yr'!W38+'Fed Contracts Grnts-4Yr'!W38+'Other Contract Grnts-4Yr'!W38+'Investment Income-4Yr'!W38+'All Other E&amp;G-4Yr'!W38</f>
        <v>35709067.969000004</v>
      </c>
      <c r="X38" s="58">
        <f>+'Tuition-4Yr'!X38+'State Appropriations-4Yr'!X38+'Local Appropriations-4Yr'!X38+'Fed Contracts Grnts-4Yr'!X38+'Other Contract Grnts-4Yr'!X38+'Investment Income-4Yr'!X38+'All Other E&amp;G-4Yr'!X38</f>
        <v>35606630.225999996</v>
      </c>
      <c r="Y38" s="58">
        <f>+'Tuition-4Yr'!Y38+'State Appropriations-4Yr'!Y38+'Local Appropriations-4Yr'!Y38+'Fed Contracts Grnts-4Yr'!Y38+'Other Contract Grnts-4Yr'!Y38+'Investment Income-4Yr'!Y38+'All Other E&amp;G-4Yr'!Y38</f>
        <v>38457710.008999996</v>
      </c>
      <c r="Z38" s="58">
        <f>+'Tuition-4Yr'!Z38+'State Appropriations-4Yr'!Z38+'Local Appropriations-4Yr'!Z38+'Fed Contracts Grnts-4Yr'!Z38+'Other Contract Grnts-4Yr'!Z38+'Investment Income-4Yr'!Z38+'All Other E&amp;G-4Yr'!Z38</f>
        <v>37272673.517000005</v>
      </c>
      <c r="AA38" s="58">
        <f>+'Tuition-4Yr'!AA38+'State Appropriations-4Yr'!AA38+'Local Appropriations-4Yr'!AA38+'Fed Contracts Grnts-4Yr'!AA38+'Other Contract Grnts-4Yr'!AA38+'Investment Income-4Yr'!AA38+'All Other E&amp;G-4Yr'!AA38</f>
        <v>36283183.037</v>
      </c>
      <c r="AB38" s="58">
        <f>+'Tuition-4Yr'!AB38+'State Appropriations-4Yr'!AB38+'Local Appropriations-4Yr'!AB38+'Fed Contracts Grnts-4Yr'!AB38+'Other Contract Grnts-4Yr'!AB38+'Investment Income-4Yr'!AB38+'All Other E&amp;G-4Yr'!AB38</f>
        <v>45781186.213</v>
      </c>
      <c r="AC38" s="58">
        <f>+'Tuition-4Yr'!AC38+'State Appropriations-4Yr'!AC38+'Local Appropriations-4Yr'!AC38+'Fed Contracts Grnts-4Yr'!AC38+'Other Contract Grnts-4Yr'!AC38+'Investment Income-4Yr'!AC38+'All Other E&amp;G-4Yr'!AC38</f>
        <v>49468684</v>
      </c>
      <c r="AD38" s="58">
        <f>+'Tuition-4Yr'!AD38+'State Appropriations-4Yr'!AD38+'Local Appropriations-4Yr'!AD38+'Fed Contracts Grnts-4Yr'!AD38+'Other Contract Grnts-4Yr'!AD38+'Investment Income-4Yr'!AD38+'All Other E&amp;G-4Yr'!AD38</f>
        <v>46558091.397999994</v>
      </c>
      <c r="AE38" s="58">
        <f>+'Tuition-4Yr'!AE38+'State Appropriations-4Yr'!AE38+'Local Appropriations-4Yr'!AE38+'Fed Contracts Grnts-4Yr'!AE38+'Other Contract Grnts-4Yr'!AE38+'Investment Income-4Yr'!AE38+'All Other E&amp;G-4Yr'!AE38</f>
        <v>55463752.217</v>
      </c>
      <c r="AF38" s="58">
        <f>+'Tuition-4Yr'!AF38+'State Appropriations-4Yr'!AF38+'Local Appropriations-4Yr'!AF38+'Fed Contracts Grnts-4Yr'!AF38+'Other Contract Grnts-4Yr'!AF38+'Investment Income-4Yr'!AF38+'All Other E&amp;G-4Yr'!AF38</f>
        <v>50312550.188999996</v>
      </c>
      <c r="AG38" s="58">
        <f>+'Tuition-4Yr'!AG38+'State Appropriations-4Yr'!AG38+'Local Appropriations-4Yr'!AG38+'Fed Contracts Grnts-4Yr'!AG38+'Other Contract Grnts-4Yr'!AG38+'Investment Income-4Yr'!AG38+'All Other E&amp;G-4Yr'!AG38</f>
        <v>50691989.719000012</v>
      </c>
      <c r="AH38" s="58">
        <f>+'Tuition-4Yr'!AH38+'State Appropriations-4Yr'!AH38+'Local Appropriations-4Yr'!AH38+'Fed Contracts Grnts-4Yr'!AH38+'Other Contract Grnts-4Yr'!AH38+'Investment Income-4Yr'!AH38+'All Other E&amp;G-4Yr'!AH38</f>
        <v>50179146.851000004</v>
      </c>
      <c r="AI38" s="58">
        <f>+'Tuition-4Yr'!AI38+'State Appropriations-4Yr'!AI38+'Local Appropriations-4Yr'!AI38+'Fed Contracts Grnts-4Yr'!AI38+'Other Contract Grnts-4Yr'!AI38+'Investment Income-4Yr'!AI38+'All Other E&amp;G-4Yr'!AI38</f>
        <v>55686918.41300001</v>
      </c>
      <c r="AJ38" s="58">
        <f>+'Tuition-4Yr'!AJ38+'State Appropriations-4Yr'!AJ38+'Local Appropriations-4Yr'!AJ38+'Fed Contracts Grnts-4Yr'!AJ38+'Other Contract Grnts-4Yr'!AJ38+'Investment Income-4Yr'!AJ38+'All Other E&amp;G-4Yr'!AJ38</f>
        <v>0</v>
      </c>
      <c r="AK38" s="58">
        <f>+'Tuition-4Yr'!AK38+'State Appropriations-4Yr'!AK38+'Local Appropriations-4Yr'!AK38+'Fed Contracts Grnts-4Yr'!AK38+'Other Contract Grnts-4Yr'!AK38+'Investment Income-4Yr'!AK38+'All Other E&amp;G-4Yr'!AK38</f>
        <v>59217700.905000001</v>
      </c>
    </row>
    <row r="39" spans="1:37" ht="12.75" customHeight="1">
      <c r="A39" s="6" t="s">
        <v>94</v>
      </c>
      <c r="B39" s="58">
        <f>+'Tuition-4Yr'!B39+'State Appropriations-4Yr'!B39+'Local Appropriations-4Yr'!B39+'Fed Contracts Grnts-4Yr'!B39+'Other Contract Grnts-4Yr'!B39+'Investment Income-4Yr'!B39+'All Other E&amp;G-4Yr'!B39</f>
        <v>0</v>
      </c>
      <c r="C39" s="58">
        <f>+'Tuition-4Yr'!C39+'State Appropriations-4Yr'!C39+'Local Appropriations-4Yr'!C39+'Fed Contracts Grnts-4Yr'!C39+'Other Contract Grnts-4Yr'!C39+'Investment Income-4Yr'!C39+'All Other E&amp;G-4Yr'!C39</f>
        <v>0</v>
      </c>
      <c r="D39" s="58">
        <f>+'Tuition-4Yr'!D39+'State Appropriations-4Yr'!D39+'Local Appropriations-4Yr'!D39+'Fed Contracts Grnts-4Yr'!D39+'Other Contract Grnts-4Yr'!D39+'Investment Income-4Yr'!D39+'All Other E&amp;G-4Yr'!D39</f>
        <v>0</v>
      </c>
      <c r="E39" s="58">
        <f>+'Tuition-4Yr'!E39+'State Appropriations-4Yr'!E39+'Local Appropriations-4Yr'!E39+'Fed Contracts Grnts-4Yr'!E39+'Other Contract Grnts-4Yr'!E39+'Investment Income-4Yr'!E39+'All Other E&amp;G-4Yr'!E39</f>
        <v>0</v>
      </c>
      <c r="F39" s="58">
        <f>+'Tuition-4Yr'!F39+'State Appropriations-4Yr'!F39+'Local Appropriations-4Yr'!F39+'Fed Contracts Grnts-4Yr'!F39+'Other Contract Grnts-4Yr'!F39+'Investment Income-4Yr'!F39+'All Other E&amp;G-4Yr'!F39</f>
        <v>0</v>
      </c>
      <c r="G39" s="58">
        <f>+'Tuition-4Yr'!G39+'State Appropriations-4Yr'!G39+'Local Appropriations-4Yr'!G39+'Fed Contracts Grnts-4Yr'!G39+'Other Contract Grnts-4Yr'!G39+'Investment Income-4Yr'!G39+'All Other E&amp;G-4Yr'!G39</f>
        <v>0</v>
      </c>
      <c r="H39" s="58">
        <f>+'Tuition-4Yr'!H39+'State Appropriations-4Yr'!H39+'Local Appropriations-4Yr'!H39+'Fed Contracts Grnts-4Yr'!H39+'Other Contract Grnts-4Yr'!H39+'Investment Income-4Yr'!H39+'All Other E&amp;G-4Yr'!H39</f>
        <v>0</v>
      </c>
      <c r="I39" s="58">
        <f>+'Tuition-4Yr'!I39+'State Appropriations-4Yr'!I39+'Local Appropriations-4Yr'!I39+'Fed Contracts Grnts-4Yr'!I39+'Other Contract Grnts-4Yr'!I39+'Investment Income-4Yr'!I39+'All Other E&amp;G-4Yr'!I39</f>
        <v>0</v>
      </c>
      <c r="J39" s="58">
        <f>+'Tuition-4Yr'!J39+'State Appropriations-4Yr'!J39+'Local Appropriations-4Yr'!J39+'Fed Contracts Grnts-4Yr'!J39+'Other Contract Grnts-4Yr'!J39+'Investment Income-4Yr'!J39+'All Other E&amp;G-4Yr'!J39</f>
        <v>0</v>
      </c>
      <c r="K39" s="58">
        <f>+'Tuition-4Yr'!K39+'State Appropriations-4Yr'!K39+'Local Appropriations-4Yr'!K39+'Fed Contracts Grnts-4Yr'!K39+'Other Contract Grnts-4Yr'!K39+'Investment Income-4Yr'!K39+'All Other E&amp;G-4Yr'!K39</f>
        <v>0</v>
      </c>
      <c r="L39" s="58">
        <f>+'Tuition-4Yr'!L39+'State Appropriations-4Yr'!L39+'Local Appropriations-4Yr'!L39+'Fed Contracts Grnts-4Yr'!L39+'Other Contract Grnts-4Yr'!L39+'Investment Income-4Yr'!L39+'All Other E&amp;G-4Yr'!L39</f>
        <v>0</v>
      </c>
      <c r="M39" s="58">
        <f>+'Tuition-4Yr'!M39+'State Appropriations-4Yr'!M39+'Local Appropriations-4Yr'!M39+'Fed Contracts Grnts-4Yr'!M39+'Other Contract Grnts-4Yr'!M39+'Investment Income-4Yr'!M39+'All Other E&amp;G-4Yr'!M39</f>
        <v>0</v>
      </c>
      <c r="N39" s="58">
        <f>+'Tuition-4Yr'!N39+'State Appropriations-4Yr'!N39+'Local Appropriations-4Yr'!N39+'Fed Contracts Grnts-4Yr'!N39+'Other Contract Grnts-4Yr'!N39+'Investment Income-4Yr'!N39+'All Other E&amp;G-4Yr'!N39</f>
        <v>0</v>
      </c>
      <c r="O39" s="58">
        <f>+'Tuition-4Yr'!O39+'State Appropriations-4Yr'!O39+'Local Appropriations-4Yr'!O39+'Fed Contracts Grnts-4Yr'!O39+'Other Contract Grnts-4Yr'!O39+'Investment Income-4Yr'!O39+'All Other E&amp;G-4Yr'!O39</f>
        <v>0</v>
      </c>
      <c r="P39" s="58">
        <f>+'Tuition-4Yr'!P39+'State Appropriations-4Yr'!P39+'Local Appropriations-4Yr'!P39+'Fed Contracts Grnts-4Yr'!P39+'Other Contract Grnts-4Yr'!P39+'Investment Income-4Yr'!P39+'All Other E&amp;G-4Yr'!P39</f>
        <v>0</v>
      </c>
      <c r="Q39" s="58">
        <f>+'Tuition-4Yr'!Q39+'State Appropriations-4Yr'!Q39+'Local Appropriations-4Yr'!Q39+'Fed Contracts Grnts-4Yr'!Q39+'Other Contract Grnts-4Yr'!Q39+'Investment Income-4Yr'!Q39+'All Other E&amp;G-4Yr'!Q39</f>
        <v>0</v>
      </c>
      <c r="R39" s="58">
        <f>+'Tuition-4Yr'!R39+'State Appropriations-4Yr'!R39+'Local Appropriations-4Yr'!R39+'Fed Contracts Grnts-4Yr'!R39+'Other Contract Grnts-4Yr'!R39+'Investment Income-4Yr'!R39+'All Other E&amp;G-4Yr'!R39</f>
        <v>0</v>
      </c>
      <c r="S39" s="58">
        <f>+'Tuition-4Yr'!S39+'State Appropriations-4Yr'!S39+'Local Appropriations-4Yr'!S39+'Fed Contracts Grnts-4Yr'!S39+'Other Contract Grnts-4Yr'!S39+'Investment Income-4Yr'!S39+'All Other E&amp;G-4Yr'!S39</f>
        <v>0</v>
      </c>
      <c r="T39" s="58">
        <f>+'Tuition-4Yr'!T39+'State Appropriations-4Yr'!T39+'Local Appropriations-4Yr'!T39+'Fed Contracts Grnts-4Yr'!T39+'Other Contract Grnts-4Yr'!T39+'Investment Income-4Yr'!T39+'All Other E&amp;G-4Yr'!T39</f>
        <v>0</v>
      </c>
      <c r="U39" s="58">
        <f>+'Tuition-4Yr'!U39+'State Appropriations-4Yr'!U39+'Local Appropriations-4Yr'!U39+'Fed Contracts Grnts-4Yr'!U39+'Other Contract Grnts-4Yr'!U39+'Investment Income-4Yr'!U39+'All Other E&amp;G-4Yr'!U39</f>
        <v>0</v>
      </c>
      <c r="V39" s="58">
        <f>+'Tuition-4Yr'!V39+'State Appropriations-4Yr'!V39+'Local Appropriations-4Yr'!V39+'Fed Contracts Grnts-4Yr'!V39+'Other Contract Grnts-4Yr'!V39+'Investment Income-4Yr'!V39+'All Other E&amp;G-4Yr'!V39</f>
        <v>0</v>
      </c>
      <c r="W39" s="58">
        <f>+'Tuition-4Yr'!W39+'State Appropriations-4Yr'!W39+'Local Appropriations-4Yr'!W39+'Fed Contracts Grnts-4Yr'!W39+'Other Contract Grnts-4Yr'!W39+'Investment Income-4Yr'!W39+'All Other E&amp;G-4Yr'!W39</f>
        <v>0</v>
      </c>
      <c r="X39" s="58">
        <f>+'Tuition-4Yr'!X39+'State Appropriations-4Yr'!X39+'Local Appropriations-4Yr'!X39+'Fed Contracts Grnts-4Yr'!X39+'Other Contract Grnts-4Yr'!X39+'Investment Income-4Yr'!X39+'All Other E&amp;G-4Yr'!X39</f>
        <v>0</v>
      </c>
      <c r="Y39" s="58">
        <f>+'Tuition-4Yr'!Y39+'State Appropriations-4Yr'!Y39+'Local Appropriations-4Yr'!Y39+'Fed Contracts Grnts-4Yr'!Y39+'Other Contract Grnts-4Yr'!Y39+'Investment Income-4Yr'!Y39+'All Other E&amp;G-4Yr'!Y39</f>
        <v>0</v>
      </c>
      <c r="Z39" s="58">
        <f>+'Tuition-4Yr'!Z39+'State Appropriations-4Yr'!Z39+'Local Appropriations-4Yr'!Z39+'Fed Contracts Grnts-4Yr'!Z39+'Other Contract Grnts-4Yr'!Z39+'Investment Income-4Yr'!Z39+'All Other E&amp;G-4Yr'!Z39</f>
        <v>0</v>
      </c>
      <c r="AA39" s="58">
        <f>+'Tuition-4Yr'!AA39+'State Appropriations-4Yr'!AA39+'Local Appropriations-4Yr'!AA39+'Fed Contracts Grnts-4Yr'!AA39+'Other Contract Grnts-4Yr'!AA39+'Investment Income-4Yr'!AA39+'All Other E&amp;G-4Yr'!AA39</f>
        <v>0</v>
      </c>
      <c r="AB39" s="58">
        <f>+'Tuition-4Yr'!AB39+'State Appropriations-4Yr'!AB39+'Local Appropriations-4Yr'!AB39+'Fed Contracts Grnts-4Yr'!AB39+'Other Contract Grnts-4Yr'!AB39+'Investment Income-4Yr'!AB39+'All Other E&amp;G-4Yr'!AB39</f>
        <v>0</v>
      </c>
      <c r="AC39" s="58">
        <f>+'Tuition-4Yr'!AC39+'State Appropriations-4Yr'!AC39+'Local Appropriations-4Yr'!AC39+'Fed Contracts Grnts-4Yr'!AC39+'Other Contract Grnts-4Yr'!AC39+'Investment Income-4Yr'!AC39+'All Other E&amp;G-4Yr'!AC39</f>
        <v>0</v>
      </c>
      <c r="AD39" s="58">
        <f>+'Tuition-4Yr'!AD39+'State Appropriations-4Yr'!AD39+'Local Appropriations-4Yr'!AD39+'Fed Contracts Grnts-4Yr'!AD39+'Other Contract Grnts-4Yr'!AD39+'Investment Income-4Yr'!AD39+'All Other E&amp;G-4Yr'!AD39</f>
        <v>0</v>
      </c>
      <c r="AE39" s="58">
        <f>+'Tuition-4Yr'!AE39+'State Appropriations-4Yr'!AE39+'Local Appropriations-4Yr'!AE39+'Fed Contracts Grnts-4Yr'!AE39+'Other Contract Grnts-4Yr'!AE39+'Investment Income-4Yr'!AE39+'All Other E&amp;G-4Yr'!AE39</f>
        <v>0</v>
      </c>
      <c r="AF39" s="58">
        <f>+'Tuition-4Yr'!AF39+'State Appropriations-4Yr'!AF39+'Local Appropriations-4Yr'!AF39+'Fed Contracts Grnts-4Yr'!AF39+'Other Contract Grnts-4Yr'!AF39+'Investment Income-4Yr'!AF39+'All Other E&amp;G-4Yr'!AF39</f>
        <v>0</v>
      </c>
      <c r="AG39" s="58">
        <f>+'Tuition-4Yr'!AG39+'State Appropriations-4Yr'!AG39+'Local Appropriations-4Yr'!AG39+'Fed Contracts Grnts-4Yr'!AG39+'Other Contract Grnts-4Yr'!AG39+'Investment Income-4Yr'!AG39+'All Other E&amp;G-4Yr'!AG39</f>
        <v>0</v>
      </c>
      <c r="AH39" s="58">
        <f>+'Tuition-4Yr'!AH39+'State Appropriations-4Yr'!AH39+'Local Appropriations-4Yr'!AH39+'Fed Contracts Grnts-4Yr'!AH39+'Other Contract Grnts-4Yr'!AH39+'Investment Income-4Yr'!AH39+'All Other E&amp;G-4Yr'!AH39</f>
        <v>0</v>
      </c>
      <c r="AI39" s="58">
        <f>+'Tuition-4Yr'!AI39+'State Appropriations-4Yr'!AI39+'Local Appropriations-4Yr'!AI39+'Fed Contracts Grnts-4Yr'!AI39+'Other Contract Grnts-4Yr'!AI39+'Investment Income-4Yr'!AI39+'All Other E&amp;G-4Yr'!AI39</f>
        <v>0</v>
      </c>
      <c r="AJ39" s="58">
        <f>+'Tuition-4Yr'!AJ39+'State Appropriations-4Yr'!AJ39+'Local Appropriations-4Yr'!AJ39+'Fed Contracts Grnts-4Yr'!AJ39+'Other Contract Grnts-4Yr'!AJ39+'Investment Income-4Yr'!AJ39+'All Other E&amp;G-4Yr'!AJ39</f>
        <v>0</v>
      </c>
      <c r="AK39" s="58">
        <f>+'Tuition-4Yr'!AK39+'State Appropriations-4Yr'!AK39+'Local Appropriations-4Yr'!AK39+'Fed Contracts Grnts-4Yr'!AK39+'Other Contract Grnts-4Yr'!AK39+'Investment Income-4Yr'!AK39+'All Other E&amp;G-4Yr'!AK39</f>
        <v>0</v>
      </c>
    </row>
    <row r="40" spans="1:37" ht="12.75" customHeight="1">
      <c r="A40" s="1" t="s">
        <v>52</v>
      </c>
      <c r="B40" s="58">
        <f>+'Tuition-4Yr'!B40+'State Appropriations-4Yr'!B40+'Local Appropriations-4Yr'!B40+'Fed Contracts Grnts-4Yr'!B40+'Other Contract Grnts-4Yr'!B40+'Investment Income-4Yr'!B40+'All Other E&amp;G-4Yr'!B40</f>
        <v>0</v>
      </c>
      <c r="C40" s="58">
        <f>+'Tuition-4Yr'!C40+'State Appropriations-4Yr'!C40+'Local Appropriations-4Yr'!C40+'Fed Contracts Grnts-4Yr'!C40+'Other Contract Grnts-4Yr'!C40+'Investment Income-4Yr'!C40+'All Other E&amp;G-4Yr'!C40</f>
        <v>0</v>
      </c>
      <c r="D40" s="58">
        <f>+'Tuition-4Yr'!D40+'State Appropriations-4Yr'!D40+'Local Appropriations-4Yr'!D40+'Fed Contracts Grnts-4Yr'!D40+'Other Contract Grnts-4Yr'!D40+'Investment Income-4Yr'!D40+'All Other E&amp;G-4Yr'!D40</f>
        <v>0</v>
      </c>
      <c r="E40" s="58">
        <f>+'Tuition-4Yr'!E40+'State Appropriations-4Yr'!E40+'Local Appropriations-4Yr'!E40+'Fed Contracts Grnts-4Yr'!E40+'Other Contract Grnts-4Yr'!E40+'Investment Income-4Yr'!E40+'All Other E&amp;G-4Yr'!E40</f>
        <v>0</v>
      </c>
      <c r="F40" s="58">
        <f>+'Tuition-4Yr'!F40+'State Appropriations-4Yr'!F40+'Local Appropriations-4Yr'!F40+'Fed Contracts Grnts-4Yr'!F40+'Other Contract Grnts-4Yr'!F40+'Investment Income-4Yr'!F40+'All Other E&amp;G-4Yr'!F40</f>
        <v>0</v>
      </c>
      <c r="G40" s="58">
        <f>+'Tuition-4Yr'!G40+'State Appropriations-4Yr'!G40+'Local Appropriations-4Yr'!G40+'Fed Contracts Grnts-4Yr'!G40+'Other Contract Grnts-4Yr'!G40+'Investment Income-4Yr'!G40+'All Other E&amp;G-4Yr'!G40</f>
        <v>0</v>
      </c>
      <c r="H40" s="58">
        <f>+'Tuition-4Yr'!H40+'State Appropriations-4Yr'!H40+'Local Appropriations-4Yr'!H40+'Fed Contracts Grnts-4Yr'!H40+'Other Contract Grnts-4Yr'!H40+'Investment Income-4Yr'!H40+'All Other E&amp;G-4Yr'!H40</f>
        <v>0</v>
      </c>
      <c r="I40" s="58">
        <f>+'Tuition-4Yr'!I40+'State Appropriations-4Yr'!I40+'Local Appropriations-4Yr'!I40+'Fed Contracts Grnts-4Yr'!I40+'Other Contract Grnts-4Yr'!I40+'Investment Income-4Yr'!I40+'All Other E&amp;G-4Yr'!I40</f>
        <v>0</v>
      </c>
      <c r="J40" s="58">
        <f>+'Tuition-4Yr'!J40+'State Appropriations-4Yr'!J40+'Local Appropriations-4Yr'!J40+'Fed Contracts Grnts-4Yr'!J40+'Other Contract Grnts-4Yr'!J40+'Investment Income-4Yr'!J40+'All Other E&amp;G-4Yr'!J40</f>
        <v>2189982.9840000002</v>
      </c>
      <c r="K40" s="58">
        <f>+'Tuition-4Yr'!K40+'State Appropriations-4Yr'!K40+'Local Appropriations-4Yr'!K40+'Fed Contracts Grnts-4Yr'!K40+'Other Contract Grnts-4Yr'!K40+'Investment Income-4Yr'!K40+'All Other E&amp;G-4Yr'!K40</f>
        <v>0</v>
      </c>
      <c r="L40" s="58">
        <f>+'Tuition-4Yr'!L40+'State Appropriations-4Yr'!L40+'Local Appropriations-4Yr'!L40+'Fed Contracts Grnts-4Yr'!L40+'Other Contract Grnts-4Yr'!L40+'Investment Income-4Yr'!L40+'All Other E&amp;G-4Yr'!L40</f>
        <v>0</v>
      </c>
      <c r="M40" s="58">
        <f>+'Tuition-4Yr'!M40+'State Appropriations-4Yr'!M40+'Local Appropriations-4Yr'!M40+'Fed Contracts Grnts-4Yr'!M40+'Other Contract Grnts-4Yr'!M40+'Investment Income-4Yr'!M40+'All Other E&amp;G-4Yr'!M40</f>
        <v>2497914.281</v>
      </c>
      <c r="N40" s="58">
        <f>+'Tuition-4Yr'!N40+'State Appropriations-4Yr'!N40+'Local Appropriations-4Yr'!N40+'Fed Contracts Grnts-4Yr'!N40+'Other Contract Grnts-4Yr'!N40+'Investment Income-4Yr'!N40+'All Other E&amp;G-4Yr'!N40</f>
        <v>0</v>
      </c>
      <c r="O40" s="58">
        <f>+'Tuition-4Yr'!O40+'State Appropriations-4Yr'!O40+'Local Appropriations-4Yr'!O40+'Fed Contracts Grnts-4Yr'!O40+'Other Contract Grnts-4Yr'!O40+'Investment Income-4Yr'!O40+'All Other E&amp;G-4Yr'!O40</f>
        <v>2839985.2910000002</v>
      </c>
      <c r="P40" s="58">
        <f>+'Tuition-4Yr'!P40+'State Appropriations-4Yr'!P40+'Local Appropriations-4Yr'!P40+'Fed Contracts Grnts-4Yr'!P40+'Other Contract Grnts-4Yr'!P40+'Investment Income-4Yr'!P40+'All Other E&amp;G-4Yr'!P40</f>
        <v>0</v>
      </c>
      <c r="Q40" s="58">
        <f>+'Tuition-4Yr'!Q40+'State Appropriations-4Yr'!Q40+'Local Appropriations-4Yr'!Q40+'Fed Contracts Grnts-4Yr'!Q40+'Other Contract Grnts-4Yr'!Q40+'Investment Income-4Yr'!Q40+'All Other E&amp;G-4Yr'!Q40</f>
        <v>0</v>
      </c>
      <c r="R40" s="58">
        <f>+'Tuition-4Yr'!R40+'State Appropriations-4Yr'!R40+'Local Appropriations-4Yr'!R40+'Fed Contracts Grnts-4Yr'!R40+'Other Contract Grnts-4Yr'!R40+'Investment Income-4Yr'!R40+'All Other E&amp;G-4Yr'!R40</f>
        <v>3290183.4009999996</v>
      </c>
      <c r="S40" s="58">
        <f>+'Tuition-4Yr'!S40+'State Appropriations-4Yr'!S40+'Local Appropriations-4Yr'!S40+'Fed Contracts Grnts-4Yr'!S40+'Other Contract Grnts-4Yr'!S40+'Investment Income-4Yr'!S40+'All Other E&amp;G-4Yr'!S40</f>
        <v>3509086.3549999995</v>
      </c>
      <c r="T40" s="58">
        <f>+'Tuition-4Yr'!T40+'State Appropriations-4Yr'!T40+'Local Appropriations-4Yr'!T40+'Fed Contracts Grnts-4Yr'!T40+'Other Contract Grnts-4Yr'!T40+'Investment Income-4Yr'!T40+'All Other E&amp;G-4Yr'!T40</f>
        <v>4150596.0180000002</v>
      </c>
      <c r="U40" s="58">
        <f>+'Tuition-4Yr'!U40+'State Appropriations-4Yr'!U40+'Local Appropriations-4Yr'!U40+'Fed Contracts Grnts-4Yr'!U40+'Other Contract Grnts-4Yr'!U40+'Investment Income-4Yr'!U40+'All Other E&amp;G-4Yr'!U40</f>
        <v>4248860.9469999997</v>
      </c>
      <c r="V40" s="58">
        <f>+'Tuition-4Yr'!V40+'State Appropriations-4Yr'!V40+'Local Appropriations-4Yr'!V40+'Fed Contracts Grnts-4Yr'!V40+'Other Contract Grnts-4Yr'!V40+'Investment Income-4Yr'!V40+'All Other E&amp;G-4Yr'!V40</f>
        <v>5277062.4730000002</v>
      </c>
      <c r="W40" s="58">
        <f>+'Tuition-4Yr'!W40+'State Appropriations-4Yr'!W40+'Local Appropriations-4Yr'!W40+'Fed Contracts Grnts-4Yr'!W40+'Other Contract Grnts-4Yr'!W40+'Investment Income-4Yr'!W40+'All Other E&amp;G-4Yr'!W40</f>
        <v>4639167.8610000005</v>
      </c>
      <c r="X40" s="58">
        <f>+'Tuition-4Yr'!X40+'State Appropriations-4Yr'!X40+'Local Appropriations-4Yr'!X40+'Fed Contracts Grnts-4Yr'!X40+'Other Contract Grnts-4Yr'!X40+'Investment Income-4Yr'!X40+'All Other E&amp;G-4Yr'!X40</f>
        <v>4818922.1239999998</v>
      </c>
      <c r="Y40" s="58">
        <f>+'Tuition-4Yr'!Y40+'State Appropriations-4Yr'!Y40+'Local Appropriations-4Yr'!Y40+'Fed Contracts Grnts-4Yr'!Y40+'Other Contract Grnts-4Yr'!Y40+'Investment Income-4Yr'!Y40+'All Other E&amp;G-4Yr'!Y40</f>
        <v>5003197.6009999998</v>
      </c>
      <c r="Z40" s="58">
        <f>+'Tuition-4Yr'!Z40+'State Appropriations-4Yr'!Z40+'Local Appropriations-4Yr'!Z40+'Fed Contracts Grnts-4Yr'!Z40+'Other Contract Grnts-4Yr'!Z40+'Investment Income-4Yr'!Z40+'All Other E&amp;G-4Yr'!Z40</f>
        <v>5278624.2220000001</v>
      </c>
      <c r="AA40" s="58">
        <f>+'Tuition-4Yr'!AA40+'State Appropriations-4Yr'!AA40+'Local Appropriations-4Yr'!AA40+'Fed Contracts Grnts-4Yr'!AA40+'Other Contract Grnts-4Yr'!AA40+'Investment Income-4Yr'!AA40+'All Other E&amp;G-4Yr'!AA40</f>
        <v>5851082.0779999997</v>
      </c>
      <c r="AB40" s="58">
        <f>+'Tuition-4Yr'!AB40+'State Appropriations-4Yr'!AB40+'Local Appropriations-4Yr'!AB40+'Fed Contracts Grnts-4Yr'!AB40+'Other Contract Grnts-4Yr'!AB40+'Investment Income-4Yr'!AB40+'All Other E&amp;G-4Yr'!AB40</f>
        <v>6463249.1290000007</v>
      </c>
      <c r="AC40" s="58">
        <f>+'Tuition-4Yr'!AC40+'State Appropriations-4Yr'!AC40+'Local Appropriations-4Yr'!AC40+'Fed Contracts Grnts-4Yr'!AC40+'Other Contract Grnts-4Yr'!AC40+'Investment Income-4Yr'!AC40+'All Other E&amp;G-4Yr'!AC40</f>
        <v>6744528</v>
      </c>
      <c r="AD40" s="58">
        <f>+'Tuition-4Yr'!AD40+'State Appropriations-4Yr'!AD40+'Local Appropriations-4Yr'!AD40+'Fed Contracts Grnts-4Yr'!AD40+'Other Contract Grnts-4Yr'!AD40+'Investment Income-4Yr'!AD40+'All Other E&amp;G-4Yr'!AD40</f>
        <v>7135360.0700000003</v>
      </c>
      <c r="AE40" s="58">
        <f>+'Tuition-4Yr'!AE40+'State Appropriations-4Yr'!AE40+'Local Appropriations-4Yr'!AE40+'Fed Contracts Grnts-4Yr'!AE40+'Other Contract Grnts-4Yr'!AE40+'Investment Income-4Yr'!AE40+'All Other E&amp;G-4Yr'!AE40</f>
        <v>7602614.7919999994</v>
      </c>
      <c r="AF40" s="58">
        <f>+'Tuition-4Yr'!AF40+'State Appropriations-4Yr'!AF40+'Local Appropriations-4Yr'!AF40+'Fed Contracts Grnts-4Yr'!AF40+'Other Contract Grnts-4Yr'!AF40+'Investment Income-4Yr'!AF40+'All Other E&amp;G-4Yr'!AF40</f>
        <v>7267155.2180000003</v>
      </c>
      <c r="AG40" s="58">
        <f>+'Tuition-4Yr'!AG40+'State Appropriations-4Yr'!AG40+'Local Appropriations-4Yr'!AG40+'Fed Contracts Grnts-4Yr'!AG40+'Other Contract Grnts-4Yr'!AG40+'Investment Income-4Yr'!AG40+'All Other E&amp;G-4Yr'!AG40</f>
        <v>7909387.5799999991</v>
      </c>
      <c r="AH40" s="58">
        <f>+'Tuition-4Yr'!AH40+'State Appropriations-4Yr'!AH40+'Local Appropriations-4Yr'!AH40+'Fed Contracts Grnts-4Yr'!AH40+'Other Contract Grnts-4Yr'!AH40+'Investment Income-4Yr'!AH40+'All Other E&amp;G-4Yr'!AH40</f>
        <v>7446127.2080000006</v>
      </c>
      <c r="AI40" s="58">
        <f>+'Tuition-4Yr'!AI40+'State Appropriations-4Yr'!AI40+'Local Appropriations-4Yr'!AI40+'Fed Contracts Grnts-4Yr'!AI40+'Other Contract Grnts-4Yr'!AI40+'Investment Income-4Yr'!AI40+'All Other E&amp;G-4Yr'!AI40</f>
        <v>8265734.0399999991</v>
      </c>
      <c r="AJ40" s="58">
        <f>+'Tuition-4Yr'!AJ40+'State Appropriations-4Yr'!AJ40+'Local Appropriations-4Yr'!AJ40+'Fed Contracts Grnts-4Yr'!AJ40+'Other Contract Grnts-4Yr'!AJ40+'Investment Income-4Yr'!AJ40+'All Other E&amp;G-4Yr'!AJ40</f>
        <v>0</v>
      </c>
      <c r="AK40" s="58">
        <f>+'Tuition-4Yr'!AK40+'State Appropriations-4Yr'!AK40+'Local Appropriations-4Yr'!AK40+'Fed Contracts Grnts-4Yr'!AK40+'Other Contract Grnts-4Yr'!AK40+'Investment Income-4Yr'!AK40+'All Other E&amp;G-4Yr'!AK40</f>
        <v>8147506.4440000001</v>
      </c>
    </row>
    <row r="41" spans="1:37" ht="12.75" customHeight="1">
      <c r="A41" s="1" t="s">
        <v>53</v>
      </c>
      <c r="B41" s="58">
        <f>+'Tuition-4Yr'!B41+'State Appropriations-4Yr'!B41+'Local Appropriations-4Yr'!B41+'Fed Contracts Grnts-4Yr'!B41+'Other Contract Grnts-4Yr'!B41+'Investment Income-4Yr'!B41+'All Other E&amp;G-4Yr'!B41</f>
        <v>0</v>
      </c>
      <c r="C41" s="58">
        <f>+'Tuition-4Yr'!C41+'State Appropriations-4Yr'!C41+'Local Appropriations-4Yr'!C41+'Fed Contracts Grnts-4Yr'!C41+'Other Contract Grnts-4Yr'!C41+'Investment Income-4Yr'!C41+'All Other E&amp;G-4Yr'!C41</f>
        <v>0</v>
      </c>
      <c r="D41" s="58">
        <f>+'Tuition-4Yr'!D41+'State Appropriations-4Yr'!D41+'Local Appropriations-4Yr'!D41+'Fed Contracts Grnts-4Yr'!D41+'Other Contract Grnts-4Yr'!D41+'Investment Income-4Yr'!D41+'All Other E&amp;G-4Yr'!D41</f>
        <v>0</v>
      </c>
      <c r="E41" s="58">
        <f>+'Tuition-4Yr'!E41+'State Appropriations-4Yr'!E41+'Local Appropriations-4Yr'!E41+'Fed Contracts Grnts-4Yr'!E41+'Other Contract Grnts-4Yr'!E41+'Investment Income-4Yr'!E41+'All Other E&amp;G-4Yr'!E41</f>
        <v>0</v>
      </c>
      <c r="F41" s="58">
        <f>+'Tuition-4Yr'!F41+'State Appropriations-4Yr'!F41+'Local Appropriations-4Yr'!F41+'Fed Contracts Grnts-4Yr'!F41+'Other Contract Grnts-4Yr'!F41+'Investment Income-4Yr'!F41+'All Other E&amp;G-4Yr'!F41</f>
        <v>0</v>
      </c>
      <c r="G41" s="58">
        <f>+'Tuition-4Yr'!G41+'State Appropriations-4Yr'!G41+'Local Appropriations-4Yr'!G41+'Fed Contracts Grnts-4Yr'!G41+'Other Contract Grnts-4Yr'!G41+'Investment Income-4Yr'!G41+'All Other E&amp;G-4Yr'!G41</f>
        <v>0</v>
      </c>
      <c r="H41" s="58">
        <f>+'Tuition-4Yr'!H41+'State Appropriations-4Yr'!H41+'Local Appropriations-4Yr'!H41+'Fed Contracts Grnts-4Yr'!H41+'Other Contract Grnts-4Yr'!H41+'Investment Income-4Yr'!H41+'All Other E&amp;G-4Yr'!H41</f>
        <v>0</v>
      </c>
      <c r="I41" s="58">
        <f>+'Tuition-4Yr'!I41+'State Appropriations-4Yr'!I41+'Local Appropriations-4Yr'!I41+'Fed Contracts Grnts-4Yr'!I41+'Other Contract Grnts-4Yr'!I41+'Investment Income-4Yr'!I41+'All Other E&amp;G-4Yr'!I41</f>
        <v>0</v>
      </c>
      <c r="J41" s="58">
        <f>+'Tuition-4Yr'!J41+'State Appropriations-4Yr'!J41+'Local Appropriations-4Yr'!J41+'Fed Contracts Grnts-4Yr'!J41+'Other Contract Grnts-4Yr'!J41+'Investment Income-4Yr'!J41+'All Other E&amp;G-4Yr'!J41</f>
        <v>1887342.5089999996</v>
      </c>
      <c r="K41" s="58">
        <f>+'Tuition-4Yr'!K41+'State Appropriations-4Yr'!K41+'Local Appropriations-4Yr'!K41+'Fed Contracts Grnts-4Yr'!K41+'Other Contract Grnts-4Yr'!K41+'Investment Income-4Yr'!K41+'All Other E&amp;G-4Yr'!K41</f>
        <v>0</v>
      </c>
      <c r="L41" s="58">
        <f>+'Tuition-4Yr'!L41+'State Appropriations-4Yr'!L41+'Local Appropriations-4Yr'!L41+'Fed Contracts Grnts-4Yr'!L41+'Other Contract Grnts-4Yr'!L41+'Investment Income-4Yr'!L41+'All Other E&amp;G-4Yr'!L41</f>
        <v>0</v>
      </c>
      <c r="M41" s="58">
        <f>+'Tuition-4Yr'!M41+'State Appropriations-4Yr'!M41+'Local Appropriations-4Yr'!M41+'Fed Contracts Grnts-4Yr'!M41+'Other Contract Grnts-4Yr'!M41+'Investment Income-4Yr'!M41+'All Other E&amp;G-4Yr'!M41</f>
        <v>2089694.7579999999</v>
      </c>
      <c r="N41" s="58">
        <f>+'Tuition-4Yr'!N41+'State Appropriations-4Yr'!N41+'Local Appropriations-4Yr'!N41+'Fed Contracts Grnts-4Yr'!N41+'Other Contract Grnts-4Yr'!N41+'Investment Income-4Yr'!N41+'All Other E&amp;G-4Yr'!N41</f>
        <v>0</v>
      </c>
      <c r="O41" s="58">
        <f>+'Tuition-4Yr'!O41+'State Appropriations-4Yr'!O41+'Local Appropriations-4Yr'!O41+'Fed Contracts Grnts-4Yr'!O41+'Other Contract Grnts-4Yr'!O41+'Investment Income-4Yr'!O41+'All Other E&amp;G-4Yr'!O41</f>
        <v>2315781.5219999999</v>
      </c>
      <c r="P41" s="58">
        <f>+'Tuition-4Yr'!P41+'State Appropriations-4Yr'!P41+'Local Appropriations-4Yr'!P41+'Fed Contracts Grnts-4Yr'!P41+'Other Contract Grnts-4Yr'!P41+'Investment Income-4Yr'!P41+'All Other E&amp;G-4Yr'!P41</f>
        <v>0</v>
      </c>
      <c r="Q41" s="58">
        <f>+'Tuition-4Yr'!Q41+'State Appropriations-4Yr'!Q41+'Local Appropriations-4Yr'!Q41+'Fed Contracts Grnts-4Yr'!Q41+'Other Contract Grnts-4Yr'!Q41+'Investment Income-4Yr'!Q41+'All Other E&amp;G-4Yr'!Q41</f>
        <v>0</v>
      </c>
      <c r="R41" s="58">
        <f>+'Tuition-4Yr'!R41+'State Appropriations-4Yr'!R41+'Local Appropriations-4Yr'!R41+'Fed Contracts Grnts-4Yr'!R41+'Other Contract Grnts-4Yr'!R41+'Investment Income-4Yr'!R41+'All Other E&amp;G-4Yr'!R41</f>
        <v>2780044.5210000002</v>
      </c>
      <c r="S41" s="58">
        <f>+'Tuition-4Yr'!S41+'State Appropriations-4Yr'!S41+'Local Appropriations-4Yr'!S41+'Fed Contracts Grnts-4Yr'!S41+'Other Contract Grnts-4Yr'!S41+'Investment Income-4Yr'!S41+'All Other E&amp;G-4Yr'!S41</f>
        <v>3009608.923</v>
      </c>
      <c r="T41" s="58">
        <f>+'Tuition-4Yr'!T41+'State Appropriations-4Yr'!T41+'Local Appropriations-4Yr'!T41+'Fed Contracts Grnts-4Yr'!T41+'Other Contract Grnts-4Yr'!T41+'Investment Income-4Yr'!T41+'All Other E&amp;G-4Yr'!T41</f>
        <v>3191586.014</v>
      </c>
      <c r="U41" s="58">
        <f>+'Tuition-4Yr'!U41+'State Appropriations-4Yr'!U41+'Local Appropriations-4Yr'!U41+'Fed Contracts Grnts-4Yr'!U41+'Other Contract Grnts-4Yr'!U41+'Investment Income-4Yr'!U41+'All Other E&amp;G-4Yr'!U41</f>
        <v>3287144.6410000003</v>
      </c>
      <c r="V41" s="58">
        <f>+'Tuition-4Yr'!V41+'State Appropriations-4Yr'!V41+'Local Appropriations-4Yr'!V41+'Fed Contracts Grnts-4Yr'!V41+'Other Contract Grnts-4Yr'!V41+'Investment Income-4Yr'!V41+'All Other E&amp;G-4Yr'!V41</f>
        <v>3634199.7920000004</v>
      </c>
      <c r="W41" s="58">
        <f>+'Tuition-4Yr'!W41+'State Appropriations-4Yr'!W41+'Local Appropriations-4Yr'!W41+'Fed Contracts Grnts-4Yr'!W41+'Other Contract Grnts-4Yr'!W41+'Investment Income-4Yr'!W41+'All Other E&amp;G-4Yr'!W41</f>
        <v>4056339.6510000001</v>
      </c>
      <c r="X41" s="58">
        <f>+'Tuition-4Yr'!X41+'State Appropriations-4Yr'!X41+'Local Appropriations-4Yr'!X41+'Fed Contracts Grnts-4Yr'!X41+'Other Contract Grnts-4Yr'!X41+'Investment Income-4Yr'!X41+'All Other E&amp;G-4Yr'!X41</f>
        <v>3977458.7709999997</v>
      </c>
      <c r="Y41" s="58">
        <f>+'Tuition-4Yr'!Y41+'State Appropriations-4Yr'!Y41+'Local Appropriations-4Yr'!Y41+'Fed Contracts Grnts-4Yr'!Y41+'Other Contract Grnts-4Yr'!Y41+'Investment Income-4Yr'!Y41+'All Other E&amp;G-4Yr'!Y41</f>
        <v>4322770.7799999993</v>
      </c>
      <c r="Z41" s="58">
        <f>+'Tuition-4Yr'!Z41+'State Appropriations-4Yr'!Z41+'Local Appropriations-4Yr'!Z41+'Fed Contracts Grnts-4Yr'!Z41+'Other Contract Grnts-4Yr'!Z41+'Investment Income-4Yr'!Z41+'All Other E&amp;G-4Yr'!Z41</f>
        <v>4383900.5449999999</v>
      </c>
      <c r="AA41" s="58">
        <f>+'Tuition-4Yr'!AA41+'State Appropriations-4Yr'!AA41+'Local Appropriations-4Yr'!AA41+'Fed Contracts Grnts-4Yr'!AA41+'Other Contract Grnts-4Yr'!AA41+'Investment Income-4Yr'!AA41+'All Other E&amp;G-4Yr'!AA41</f>
        <v>4579677.1620000005</v>
      </c>
      <c r="AB41" s="58">
        <f>+'Tuition-4Yr'!AB41+'State Appropriations-4Yr'!AB41+'Local Appropriations-4Yr'!AB41+'Fed Contracts Grnts-4Yr'!AB41+'Other Contract Grnts-4Yr'!AB41+'Investment Income-4Yr'!AB41+'All Other E&amp;G-4Yr'!AB41</f>
        <v>5372996.6189999999</v>
      </c>
      <c r="AC41" s="58">
        <f>+'Tuition-4Yr'!AC41+'State Appropriations-4Yr'!AC41+'Local Appropriations-4Yr'!AC41+'Fed Contracts Grnts-4Yr'!AC41+'Other Contract Grnts-4Yr'!AC41+'Investment Income-4Yr'!AC41+'All Other E&amp;G-4Yr'!AC41</f>
        <v>5689700</v>
      </c>
      <c r="AD41" s="58">
        <f>+'Tuition-4Yr'!AD41+'State Appropriations-4Yr'!AD41+'Local Appropriations-4Yr'!AD41+'Fed Contracts Grnts-4Yr'!AD41+'Other Contract Grnts-4Yr'!AD41+'Investment Income-4Yr'!AD41+'All Other E&amp;G-4Yr'!AD41</f>
        <v>5529893.682</v>
      </c>
      <c r="AE41" s="58">
        <f>+'Tuition-4Yr'!AE41+'State Appropriations-4Yr'!AE41+'Local Appropriations-4Yr'!AE41+'Fed Contracts Grnts-4Yr'!AE41+'Other Contract Grnts-4Yr'!AE41+'Investment Income-4Yr'!AE41+'All Other E&amp;G-4Yr'!AE41</f>
        <v>5546102.5930000003</v>
      </c>
      <c r="AF41" s="58">
        <f>+'Tuition-4Yr'!AF41+'State Appropriations-4Yr'!AF41+'Local Appropriations-4Yr'!AF41+'Fed Contracts Grnts-4Yr'!AF41+'Other Contract Grnts-4Yr'!AF41+'Investment Income-4Yr'!AF41+'All Other E&amp;G-4Yr'!AF41</f>
        <v>5692613.7829999998</v>
      </c>
      <c r="AG41" s="58">
        <f>+'Tuition-4Yr'!AG41+'State Appropriations-4Yr'!AG41+'Local Appropriations-4Yr'!AG41+'Fed Contracts Grnts-4Yr'!AG41+'Other Contract Grnts-4Yr'!AG41+'Investment Income-4Yr'!AG41+'All Other E&amp;G-4Yr'!AG41</f>
        <v>5728360.0440000007</v>
      </c>
      <c r="AH41" s="58">
        <f>+'Tuition-4Yr'!AH41+'State Appropriations-4Yr'!AH41+'Local Appropriations-4Yr'!AH41+'Fed Contracts Grnts-4Yr'!AH41+'Other Contract Grnts-4Yr'!AH41+'Investment Income-4Yr'!AH41+'All Other E&amp;G-4Yr'!AH41</f>
        <v>5908074.4949999992</v>
      </c>
      <c r="AI41" s="58">
        <f>+'Tuition-4Yr'!AI41+'State Appropriations-4Yr'!AI41+'Local Appropriations-4Yr'!AI41+'Fed Contracts Grnts-4Yr'!AI41+'Other Contract Grnts-4Yr'!AI41+'Investment Income-4Yr'!AI41+'All Other E&amp;G-4Yr'!AI41</f>
        <v>6237919.5579999983</v>
      </c>
      <c r="AJ41" s="58">
        <f>+'Tuition-4Yr'!AJ41+'State Appropriations-4Yr'!AJ41+'Local Appropriations-4Yr'!AJ41+'Fed Contracts Grnts-4Yr'!AJ41+'Other Contract Grnts-4Yr'!AJ41+'Investment Income-4Yr'!AJ41+'All Other E&amp;G-4Yr'!AJ41</f>
        <v>0</v>
      </c>
      <c r="AK41" s="58">
        <f>+'Tuition-4Yr'!AK41+'State Appropriations-4Yr'!AK41+'Local Appropriations-4Yr'!AK41+'Fed Contracts Grnts-4Yr'!AK41+'Other Contract Grnts-4Yr'!AK41+'Investment Income-4Yr'!AK41+'All Other E&amp;G-4Yr'!AK41</f>
        <v>7465817.7750000004</v>
      </c>
    </row>
    <row r="42" spans="1:37" ht="12.75" customHeight="1">
      <c r="A42" s="1" t="s">
        <v>54</v>
      </c>
      <c r="B42" s="58">
        <f>+'Tuition-4Yr'!B42+'State Appropriations-4Yr'!B42+'Local Appropriations-4Yr'!B42+'Fed Contracts Grnts-4Yr'!B42+'Other Contract Grnts-4Yr'!B42+'Investment Income-4Yr'!B42+'All Other E&amp;G-4Yr'!B42</f>
        <v>0</v>
      </c>
      <c r="C42" s="58">
        <f>+'Tuition-4Yr'!C42+'State Appropriations-4Yr'!C42+'Local Appropriations-4Yr'!C42+'Fed Contracts Grnts-4Yr'!C42+'Other Contract Grnts-4Yr'!C42+'Investment Income-4Yr'!C42+'All Other E&amp;G-4Yr'!C42</f>
        <v>0</v>
      </c>
      <c r="D42" s="58">
        <f>+'Tuition-4Yr'!D42+'State Appropriations-4Yr'!D42+'Local Appropriations-4Yr'!D42+'Fed Contracts Grnts-4Yr'!D42+'Other Contract Grnts-4Yr'!D42+'Investment Income-4Yr'!D42+'All Other E&amp;G-4Yr'!D42</f>
        <v>0</v>
      </c>
      <c r="E42" s="58">
        <f>+'Tuition-4Yr'!E42+'State Appropriations-4Yr'!E42+'Local Appropriations-4Yr'!E42+'Fed Contracts Grnts-4Yr'!E42+'Other Contract Grnts-4Yr'!E42+'Investment Income-4Yr'!E42+'All Other E&amp;G-4Yr'!E42</f>
        <v>0</v>
      </c>
      <c r="F42" s="58">
        <f>+'Tuition-4Yr'!F42+'State Appropriations-4Yr'!F42+'Local Appropriations-4Yr'!F42+'Fed Contracts Grnts-4Yr'!F42+'Other Contract Grnts-4Yr'!F42+'Investment Income-4Yr'!F42+'All Other E&amp;G-4Yr'!F42</f>
        <v>0</v>
      </c>
      <c r="G42" s="58">
        <f>+'Tuition-4Yr'!G42+'State Appropriations-4Yr'!G42+'Local Appropriations-4Yr'!G42+'Fed Contracts Grnts-4Yr'!G42+'Other Contract Grnts-4Yr'!G42+'Investment Income-4Yr'!G42+'All Other E&amp;G-4Yr'!G42</f>
        <v>0</v>
      </c>
      <c r="H42" s="58">
        <f>+'Tuition-4Yr'!H42+'State Appropriations-4Yr'!H42+'Local Appropriations-4Yr'!H42+'Fed Contracts Grnts-4Yr'!H42+'Other Contract Grnts-4Yr'!H42+'Investment Income-4Yr'!H42+'All Other E&amp;G-4Yr'!H42</f>
        <v>0</v>
      </c>
      <c r="I42" s="58">
        <f>+'Tuition-4Yr'!I42+'State Appropriations-4Yr'!I42+'Local Appropriations-4Yr'!I42+'Fed Contracts Grnts-4Yr'!I42+'Other Contract Grnts-4Yr'!I42+'Investment Income-4Yr'!I42+'All Other E&amp;G-4Yr'!I42</f>
        <v>0</v>
      </c>
      <c r="J42" s="58">
        <f>+'Tuition-4Yr'!J42+'State Appropriations-4Yr'!J42+'Local Appropriations-4Yr'!J42+'Fed Contracts Grnts-4Yr'!J42+'Other Contract Grnts-4Yr'!J42+'Investment Income-4Yr'!J42+'All Other E&amp;G-4Yr'!J42</f>
        <v>998385.72900000005</v>
      </c>
      <c r="K42" s="58">
        <f>+'Tuition-4Yr'!K42+'State Appropriations-4Yr'!K42+'Local Appropriations-4Yr'!K42+'Fed Contracts Grnts-4Yr'!K42+'Other Contract Grnts-4Yr'!K42+'Investment Income-4Yr'!K42+'All Other E&amp;G-4Yr'!K42</f>
        <v>0</v>
      </c>
      <c r="L42" s="58">
        <f>+'Tuition-4Yr'!L42+'State Appropriations-4Yr'!L42+'Local Appropriations-4Yr'!L42+'Fed Contracts Grnts-4Yr'!L42+'Other Contract Grnts-4Yr'!L42+'Investment Income-4Yr'!L42+'All Other E&amp;G-4Yr'!L42</f>
        <v>0</v>
      </c>
      <c r="M42" s="58">
        <f>+'Tuition-4Yr'!M42+'State Appropriations-4Yr'!M42+'Local Appropriations-4Yr'!M42+'Fed Contracts Grnts-4Yr'!M42+'Other Contract Grnts-4Yr'!M42+'Investment Income-4Yr'!M42+'All Other E&amp;G-4Yr'!M42</f>
        <v>1161149.0180000002</v>
      </c>
      <c r="N42" s="58">
        <f>+'Tuition-4Yr'!N42+'State Appropriations-4Yr'!N42+'Local Appropriations-4Yr'!N42+'Fed Contracts Grnts-4Yr'!N42+'Other Contract Grnts-4Yr'!N42+'Investment Income-4Yr'!N42+'All Other E&amp;G-4Yr'!N42</f>
        <v>0</v>
      </c>
      <c r="O42" s="58">
        <f>+'Tuition-4Yr'!O42+'State Appropriations-4Yr'!O42+'Local Appropriations-4Yr'!O42+'Fed Contracts Grnts-4Yr'!O42+'Other Contract Grnts-4Yr'!O42+'Investment Income-4Yr'!O42+'All Other E&amp;G-4Yr'!O42</f>
        <v>1287339.797</v>
      </c>
      <c r="P42" s="58">
        <f>+'Tuition-4Yr'!P42+'State Appropriations-4Yr'!P42+'Local Appropriations-4Yr'!P42+'Fed Contracts Grnts-4Yr'!P42+'Other Contract Grnts-4Yr'!P42+'Investment Income-4Yr'!P42+'All Other E&amp;G-4Yr'!P42</f>
        <v>0</v>
      </c>
      <c r="Q42" s="58">
        <f>+'Tuition-4Yr'!Q42+'State Appropriations-4Yr'!Q42+'Local Appropriations-4Yr'!Q42+'Fed Contracts Grnts-4Yr'!Q42+'Other Contract Grnts-4Yr'!Q42+'Investment Income-4Yr'!Q42+'All Other E&amp;G-4Yr'!Q42</f>
        <v>0</v>
      </c>
      <c r="R42" s="58">
        <f>+'Tuition-4Yr'!R42+'State Appropriations-4Yr'!R42+'Local Appropriations-4Yr'!R42+'Fed Contracts Grnts-4Yr'!R42+'Other Contract Grnts-4Yr'!R42+'Investment Income-4Yr'!R42+'All Other E&amp;G-4Yr'!R42</f>
        <v>1502571.8299999996</v>
      </c>
      <c r="S42" s="58">
        <f>+'Tuition-4Yr'!S42+'State Appropriations-4Yr'!S42+'Local Appropriations-4Yr'!S42+'Fed Contracts Grnts-4Yr'!S42+'Other Contract Grnts-4Yr'!S42+'Investment Income-4Yr'!S42+'All Other E&amp;G-4Yr'!S42</f>
        <v>1583064.7549999999</v>
      </c>
      <c r="T42" s="58">
        <f>+'Tuition-4Yr'!T42+'State Appropriations-4Yr'!T42+'Local Appropriations-4Yr'!T42+'Fed Contracts Grnts-4Yr'!T42+'Other Contract Grnts-4Yr'!T42+'Investment Income-4Yr'!T42+'All Other E&amp;G-4Yr'!T42</f>
        <v>1819136.2550000001</v>
      </c>
      <c r="U42" s="58">
        <f>+'Tuition-4Yr'!U42+'State Appropriations-4Yr'!U42+'Local Appropriations-4Yr'!U42+'Fed Contracts Grnts-4Yr'!U42+'Other Contract Grnts-4Yr'!U42+'Investment Income-4Yr'!U42+'All Other E&amp;G-4Yr'!U42</f>
        <v>1713418.4360000002</v>
      </c>
      <c r="V42" s="58">
        <f>+'Tuition-4Yr'!V42+'State Appropriations-4Yr'!V42+'Local Appropriations-4Yr'!V42+'Fed Contracts Grnts-4Yr'!V42+'Other Contract Grnts-4Yr'!V42+'Investment Income-4Yr'!V42+'All Other E&amp;G-4Yr'!V42</f>
        <v>1759903.74</v>
      </c>
      <c r="W42" s="58">
        <f>+'Tuition-4Yr'!W42+'State Appropriations-4Yr'!W42+'Local Appropriations-4Yr'!W42+'Fed Contracts Grnts-4Yr'!W42+'Other Contract Grnts-4Yr'!W42+'Investment Income-4Yr'!W42+'All Other E&amp;G-4Yr'!W42</f>
        <v>1920835.7660000001</v>
      </c>
      <c r="X42" s="58">
        <f>+'Tuition-4Yr'!X42+'State Appropriations-4Yr'!X42+'Local Appropriations-4Yr'!X42+'Fed Contracts Grnts-4Yr'!X42+'Other Contract Grnts-4Yr'!X42+'Investment Income-4Yr'!X42+'All Other E&amp;G-4Yr'!X42</f>
        <v>1961311.1470000001</v>
      </c>
      <c r="Y42" s="58">
        <f>+'Tuition-4Yr'!Y42+'State Appropriations-4Yr'!Y42+'Local Appropriations-4Yr'!Y42+'Fed Contracts Grnts-4Yr'!Y42+'Other Contract Grnts-4Yr'!Y42+'Investment Income-4Yr'!Y42+'All Other E&amp;G-4Yr'!Y42</f>
        <v>2009369.412</v>
      </c>
      <c r="Z42" s="58">
        <f>+'Tuition-4Yr'!Z42+'State Appropriations-4Yr'!Z42+'Local Appropriations-4Yr'!Z42+'Fed Contracts Grnts-4Yr'!Z42+'Other Contract Grnts-4Yr'!Z42+'Investment Income-4Yr'!Z42+'All Other E&amp;G-4Yr'!Z42</f>
        <v>2113029.1409999998</v>
      </c>
      <c r="AA42" s="58">
        <f>+'Tuition-4Yr'!AA42+'State Appropriations-4Yr'!AA42+'Local Appropriations-4Yr'!AA42+'Fed Contracts Grnts-4Yr'!AA42+'Other Contract Grnts-4Yr'!AA42+'Investment Income-4Yr'!AA42+'All Other E&amp;G-4Yr'!AA42</f>
        <v>2206184.58</v>
      </c>
      <c r="AB42" s="58">
        <f>+'Tuition-4Yr'!AB42+'State Appropriations-4Yr'!AB42+'Local Appropriations-4Yr'!AB42+'Fed Contracts Grnts-4Yr'!AB42+'Other Contract Grnts-4Yr'!AB42+'Investment Income-4Yr'!AB42+'All Other E&amp;G-4Yr'!AB42</f>
        <v>2388298.6180000002</v>
      </c>
      <c r="AC42" s="58">
        <f>+'Tuition-4Yr'!AC42+'State Appropriations-4Yr'!AC42+'Local Appropriations-4Yr'!AC42+'Fed Contracts Grnts-4Yr'!AC42+'Other Contract Grnts-4Yr'!AC42+'Investment Income-4Yr'!AC42+'All Other E&amp;G-4Yr'!AC42</f>
        <v>2480650</v>
      </c>
      <c r="AD42" s="58">
        <f>+'Tuition-4Yr'!AD42+'State Appropriations-4Yr'!AD42+'Local Appropriations-4Yr'!AD42+'Fed Contracts Grnts-4Yr'!AD42+'Other Contract Grnts-4Yr'!AD42+'Investment Income-4Yr'!AD42+'All Other E&amp;G-4Yr'!AD42</f>
        <v>2477657.753</v>
      </c>
      <c r="AE42" s="58">
        <f>+'Tuition-4Yr'!AE42+'State Appropriations-4Yr'!AE42+'Local Appropriations-4Yr'!AE42+'Fed Contracts Grnts-4Yr'!AE42+'Other Contract Grnts-4Yr'!AE42+'Investment Income-4Yr'!AE42+'All Other E&amp;G-4Yr'!AE42</f>
        <v>2553165.21</v>
      </c>
      <c r="AF42" s="58">
        <f>+'Tuition-4Yr'!AF42+'State Appropriations-4Yr'!AF42+'Local Appropriations-4Yr'!AF42+'Fed Contracts Grnts-4Yr'!AF42+'Other Contract Grnts-4Yr'!AF42+'Investment Income-4Yr'!AF42+'All Other E&amp;G-4Yr'!AF42</f>
        <v>2700439.594</v>
      </c>
      <c r="AG42" s="58">
        <f>+'Tuition-4Yr'!AG42+'State Appropriations-4Yr'!AG42+'Local Appropriations-4Yr'!AG42+'Fed Contracts Grnts-4Yr'!AG42+'Other Contract Grnts-4Yr'!AG42+'Investment Income-4Yr'!AG42+'All Other E&amp;G-4Yr'!AG42</f>
        <v>2724433.0610000002</v>
      </c>
      <c r="AH42" s="58">
        <f>+'Tuition-4Yr'!AH42+'State Appropriations-4Yr'!AH42+'Local Appropriations-4Yr'!AH42+'Fed Contracts Grnts-4Yr'!AH42+'Other Contract Grnts-4Yr'!AH42+'Investment Income-4Yr'!AH42+'All Other E&amp;G-4Yr'!AH42</f>
        <v>2793564.6600000006</v>
      </c>
      <c r="AI42" s="58">
        <f>+'Tuition-4Yr'!AI42+'State Appropriations-4Yr'!AI42+'Local Appropriations-4Yr'!AI42+'Fed Contracts Grnts-4Yr'!AI42+'Other Contract Grnts-4Yr'!AI42+'Investment Income-4Yr'!AI42+'All Other E&amp;G-4Yr'!AI42</f>
        <v>2860044.1660000002</v>
      </c>
      <c r="AJ42" s="58">
        <f>+'Tuition-4Yr'!AJ42+'State Appropriations-4Yr'!AJ42+'Local Appropriations-4Yr'!AJ42+'Fed Contracts Grnts-4Yr'!AJ42+'Other Contract Grnts-4Yr'!AJ42+'Investment Income-4Yr'!AJ42+'All Other E&amp;G-4Yr'!AJ42</f>
        <v>0</v>
      </c>
      <c r="AK42" s="58">
        <f>+'Tuition-4Yr'!AK42+'State Appropriations-4Yr'!AK42+'Local Appropriations-4Yr'!AK42+'Fed Contracts Grnts-4Yr'!AK42+'Other Contract Grnts-4Yr'!AK42+'Investment Income-4Yr'!AK42+'All Other E&amp;G-4Yr'!AK42</f>
        <v>3045879.1219999995</v>
      </c>
    </row>
    <row r="43" spans="1:37" ht="12.75" customHeight="1">
      <c r="A43" s="1" t="s">
        <v>55</v>
      </c>
      <c r="B43" s="58">
        <f>+'Tuition-4Yr'!B43+'State Appropriations-4Yr'!B43+'Local Appropriations-4Yr'!B43+'Fed Contracts Grnts-4Yr'!B43+'Other Contract Grnts-4Yr'!B43+'Investment Income-4Yr'!B43+'All Other E&amp;G-4Yr'!B43</f>
        <v>0</v>
      </c>
      <c r="C43" s="58">
        <f>+'Tuition-4Yr'!C43+'State Appropriations-4Yr'!C43+'Local Appropriations-4Yr'!C43+'Fed Contracts Grnts-4Yr'!C43+'Other Contract Grnts-4Yr'!C43+'Investment Income-4Yr'!C43+'All Other E&amp;G-4Yr'!C43</f>
        <v>0</v>
      </c>
      <c r="D43" s="58">
        <f>+'Tuition-4Yr'!D43+'State Appropriations-4Yr'!D43+'Local Appropriations-4Yr'!D43+'Fed Contracts Grnts-4Yr'!D43+'Other Contract Grnts-4Yr'!D43+'Investment Income-4Yr'!D43+'All Other E&amp;G-4Yr'!D43</f>
        <v>0</v>
      </c>
      <c r="E43" s="58">
        <f>+'Tuition-4Yr'!E43+'State Appropriations-4Yr'!E43+'Local Appropriations-4Yr'!E43+'Fed Contracts Grnts-4Yr'!E43+'Other Contract Grnts-4Yr'!E43+'Investment Income-4Yr'!E43+'All Other E&amp;G-4Yr'!E43</f>
        <v>0</v>
      </c>
      <c r="F43" s="58">
        <f>+'Tuition-4Yr'!F43+'State Appropriations-4Yr'!F43+'Local Appropriations-4Yr'!F43+'Fed Contracts Grnts-4Yr'!F43+'Other Contract Grnts-4Yr'!F43+'Investment Income-4Yr'!F43+'All Other E&amp;G-4Yr'!F43</f>
        <v>0</v>
      </c>
      <c r="G43" s="58">
        <f>+'Tuition-4Yr'!G43+'State Appropriations-4Yr'!G43+'Local Appropriations-4Yr'!G43+'Fed Contracts Grnts-4Yr'!G43+'Other Contract Grnts-4Yr'!G43+'Investment Income-4Yr'!G43+'All Other E&amp;G-4Yr'!G43</f>
        <v>0</v>
      </c>
      <c r="H43" s="58">
        <f>+'Tuition-4Yr'!H43+'State Appropriations-4Yr'!H43+'Local Appropriations-4Yr'!H43+'Fed Contracts Grnts-4Yr'!H43+'Other Contract Grnts-4Yr'!H43+'Investment Income-4Yr'!H43+'All Other E&amp;G-4Yr'!H43</f>
        <v>0</v>
      </c>
      <c r="I43" s="58">
        <f>+'Tuition-4Yr'!I43+'State Appropriations-4Yr'!I43+'Local Appropriations-4Yr'!I43+'Fed Contracts Grnts-4Yr'!I43+'Other Contract Grnts-4Yr'!I43+'Investment Income-4Yr'!I43+'All Other E&amp;G-4Yr'!I43</f>
        <v>0</v>
      </c>
      <c r="J43" s="58">
        <f>+'Tuition-4Yr'!J43+'State Appropriations-4Yr'!J43+'Local Appropriations-4Yr'!J43+'Fed Contracts Grnts-4Yr'!J43+'Other Contract Grnts-4Yr'!J43+'Investment Income-4Yr'!J43+'All Other E&amp;G-4Yr'!J43</f>
        <v>841946.01899999997</v>
      </c>
      <c r="K43" s="58">
        <f>+'Tuition-4Yr'!K43+'State Appropriations-4Yr'!K43+'Local Appropriations-4Yr'!K43+'Fed Contracts Grnts-4Yr'!K43+'Other Contract Grnts-4Yr'!K43+'Investment Income-4Yr'!K43+'All Other E&amp;G-4Yr'!K43</f>
        <v>0</v>
      </c>
      <c r="L43" s="58">
        <f>+'Tuition-4Yr'!L43+'State Appropriations-4Yr'!L43+'Local Appropriations-4Yr'!L43+'Fed Contracts Grnts-4Yr'!L43+'Other Contract Grnts-4Yr'!L43+'Investment Income-4Yr'!L43+'All Other E&amp;G-4Yr'!L43</f>
        <v>0</v>
      </c>
      <c r="M43" s="58">
        <f>+'Tuition-4Yr'!M43+'State Appropriations-4Yr'!M43+'Local Appropriations-4Yr'!M43+'Fed Contracts Grnts-4Yr'!M43+'Other Contract Grnts-4Yr'!M43+'Investment Income-4Yr'!M43+'All Other E&amp;G-4Yr'!M43</f>
        <v>988836.88400000008</v>
      </c>
      <c r="N43" s="58">
        <f>+'Tuition-4Yr'!N43+'State Appropriations-4Yr'!N43+'Local Appropriations-4Yr'!N43+'Fed Contracts Grnts-4Yr'!N43+'Other Contract Grnts-4Yr'!N43+'Investment Income-4Yr'!N43+'All Other E&amp;G-4Yr'!N43</f>
        <v>0</v>
      </c>
      <c r="O43" s="58">
        <f>+'Tuition-4Yr'!O43+'State Appropriations-4Yr'!O43+'Local Appropriations-4Yr'!O43+'Fed Contracts Grnts-4Yr'!O43+'Other Contract Grnts-4Yr'!O43+'Investment Income-4Yr'!O43+'All Other E&amp;G-4Yr'!O43</f>
        <v>1066979.1523799999</v>
      </c>
      <c r="P43" s="58">
        <f>+'Tuition-4Yr'!P43+'State Appropriations-4Yr'!P43+'Local Appropriations-4Yr'!P43+'Fed Contracts Grnts-4Yr'!P43+'Other Contract Grnts-4Yr'!P43+'Investment Income-4Yr'!P43+'All Other E&amp;G-4Yr'!P43</f>
        <v>0</v>
      </c>
      <c r="Q43" s="58">
        <f>+'Tuition-4Yr'!Q43+'State Appropriations-4Yr'!Q43+'Local Appropriations-4Yr'!Q43+'Fed Contracts Grnts-4Yr'!Q43+'Other Contract Grnts-4Yr'!Q43+'Investment Income-4Yr'!Q43+'All Other E&amp;G-4Yr'!Q43</f>
        <v>0</v>
      </c>
      <c r="R43" s="58">
        <f>+'Tuition-4Yr'!R43+'State Appropriations-4Yr'!R43+'Local Appropriations-4Yr'!R43+'Fed Contracts Grnts-4Yr'!R43+'Other Contract Grnts-4Yr'!R43+'Investment Income-4Yr'!R43+'All Other E&amp;G-4Yr'!R43</f>
        <v>1305537.2860000001</v>
      </c>
      <c r="S43" s="58">
        <f>+'Tuition-4Yr'!S43+'State Appropriations-4Yr'!S43+'Local Appropriations-4Yr'!S43+'Fed Contracts Grnts-4Yr'!S43+'Other Contract Grnts-4Yr'!S43+'Investment Income-4Yr'!S43+'All Other E&amp;G-4Yr'!S43</f>
        <v>1369947.9040000001</v>
      </c>
      <c r="T43" s="58">
        <f>+'Tuition-4Yr'!T43+'State Appropriations-4Yr'!T43+'Local Appropriations-4Yr'!T43+'Fed Contracts Grnts-4Yr'!T43+'Other Contract Grnts-4Yr'!T43+'Investment Income-4Yr'!T43+'All Other E&amp;G-4Yr'!T43</f>
        <v>1431305.344</v>
      </c>
      <c r="U43" s="58">
        <f>+'Tuition-4Yr'!U43+'State Appropriations-4Yr'!U43+'Local Appropriations-4Yr'!U43+'Fed Contracts Grnts-4Yr'!U43+'Other Contract Grnts-4Yr'!U43+'Investment Income-4Yr'!U43+'All Other E&amp;G-4Yr'!U43</f>
        <v>1528019.9909999999</v>
      </c>
      <c r="V43" s="58">
        <f>+'Tuition-4Yr'!V43+'State Appropriations-4Yr'!V43+'Local Appropriations-4Yr'!V43+'Fed Contracts Grnts-4Yr'!V43+'Other Contract Grnts-4Yr'!V43+'Investment Income-4Yr'!V43+'All Other E&amp;G-4Yr'!V43</f>
        <v>1646322.7140000002</v>
      </c>
      <c r="W43" s="58">
        <f>+'Tuition-4Yr'!W43+'State Appropriations-4Yr'!W43+'Local Appropriations-4Yr'!W43+'Fed Contracts Grnts-4Yr'!W43+'Other Contract Grnts-4Yr'!W43+'Investment Income-4Yr'!W43+'All Other E&amp;G-4Yr'!W43</f>
        <v>1806344.2149999999</v>
      </c>
      <c r="X43" s="58">
        <f>+'Tuition-4Yr'!X43+'State Appropriations-4Yr'!X43+'Local Appropriations-4Yr'!X43+'Fed Contracts Grnts-4Yr'!X43+'Other Contract Grnts-4Yr'!X43+'Investment Income-4Yr'!X43+'All Other E&amp;G-4Yr'!X43</f>
        <v>1884086.0290000001</v>
      </c>
      <c r="Y43" s="58">
        <f>+'Tuition-4Yr'!Y43+'State Appropriations-4Yr'!Y43+'Local Appropriations-4Yr'!Y43+'Fed Contracts Grnts-4Yr'!Y43+'Other Contract Grnts-4Yr'!Y43+'Investment Income-4Yr'!Y43+'All Other E&amp;G-4Yr'!Y43</f>
        <v>1905856.702</v>
      </c>
      <c r="Z43" s="58">
        <f>+'Tuition-4Yr'!Z43+'State Appropriations-4Yr'!Z43+'Local Appropriations-4Yr'!Z43+'Fed Contracts Grnts-4Yr'!Z43+'Other Contract Grnts-4Yr'!Z43+'Investment Income-4Yr'!Z43+'All Other E&amp;G-4Yr'!Z43</f>
        <v>1842517.868</v>
      </c>
      <c r="AA43" s="58">
        <f>+'Tuition-4Yr'!AA43+'State Appropriations-4Yr'!AA43+'Local Appropriations-4Yr'!AA43+'Fed Contracts Grnts-4Yr'!AA43+'Other Contract Grnts-4Yr'!AA43+'Investment Income-4Yr'!AA43+'All Other E&amp;G-4Yr'!AA43</f>
        <v>1977508.2139999999</v>
      </c>
      <c r="AB43" s="58">
        <f>+'Tuition-4Yr'!AB43+'State Appropriations-4Yr'!AB43+'Local Appropriations-4Yr'!AB43+'Fed Contracts Grnts-4Yr'!AB43+'Other Contract Grnts-4Yr'!AB43+'Investment Income-4Yr'!AB43+'All Other E&amp;G-4Yr'!AB43</f>
        <v>2171336.0579999997</v>
      </c>
      <c r="AC43" s="58">
        <f>+'Tuition-4Yr'!AC43+'State Appropriations-4Yr'!AC43+'Local Appropriations-4Yr'!AC43+'Fed Contracts Grnts-4Yr'!AC43+'Other Contract Grnts-4Yr'!AC43+'Investment Income-4Yr'!AC43+'All Other E&amp;G-4Yr'!AC43</f>
        <v>2317908</v>
      </c>
      <c r="AD43" s="58">
        <f>+'Tuition-4Yr'!AD43+'State Appropriations-4Yr'!AD43+'Local Appropriations-4Yr'!AD43+'Fed Contracts Grnts-4Yr'!AD43+'Other Contract Grnts-4Yr'!AD43+'Investment Income-4Yr'!AD43+'All Other E&amp;G-4Yr'!AD43</f>
        <v>2363021.4019999998</v>
      </c>
      <c r="AE43" s="58">
        <f>+'Tuition-4Yr'!AE43+'State Appropriations-4Yr'!AE43+'Local Appropriations-4Yr'!AE43+'Fed Contracts Grnts-4Yr'!AE43+'Other Contract Grnts-4Yr'!AE43+'Investment Income-4Yr'!AE43+'All Other E&amp;G-4Yr'!AE43</f>
        <v>2386140.4990000003</v>
      </c>
      <c r="AF43" s="58">
        <f>+'Tuition-4Yr'!AF43+'State Appropriations-4Yr'!AF43+'Local Appropriations-4Yr'!AF43+'Fed Contracts Grnts-4Yr'!AF43+'Other Contract Grnts-4Yr'!AF43+'Investment Income-4Yr'!AF43+'All Other E&amp;G-4Yr'!AF43</f>
        <v>2261978.3429999999</v>
      </c>
      <c r="AG43" s="58">
        <f>+'Tuition-4Yr'!AG43+'State Appropriations-4Yr'!AG43+'Local Appropriations-4Yr'!AG43+'Fed Contracts Grnts-4Yr'!AG43+'Other Contract Grnts-4Yr'!AG43+'Investment Income-4Yr'!AG43+'All Other E&amp;G-4Yr'!AG43</f>
        <v>2489861.3660000004</v>
      </c>
      <c r="AH43" s="58">
        <f>+'Tuition-4Yr'!AH43+'State Appropriations-4Yr'!AH43+'Local Appropriations-4Yr'!AH43+'Fed Contracts Grnts-4Yr'!AH43+'Other Contract Grnts-4Yr'!AH43+'Investment Income-4Yr'!AH43+'All Other E&amp;G-4Yr'!AH43</f>
        <v>2465819.2519999999</v>
      </c>
      <c r="AI43" s="58">
        <f>+'Tuition-4Yr'!AI43+'State Appropriations-4Yr'!AI43+'Local Appropriations-4Yr'!AI43+'Fed Contracts Grnts-4Yr'!AI43+'Other Contract Grnts-4Yr'!AI43+'Investment Income-4Yr'!AI43+'All Other E&amp;G-4Yr'!AI43</f>
        <v>2557503.6290000002</v>
      </c>
      <c r="AJ43" s="58">
        <f>+'Tuition-4Yr'!AJ43+'State Appropriations-4Yr'!AJ43+'Local Appropriations-4Yr'!AJ43+'Fed Contracts Grnts-4Yr'!AJ43+'Other Contract Grnts-4Yr'!AJ43+'Investment Income-4Yr'!AJ43+'All Other E&amp;G-4Yr'!AJ43</f>
        <v>0</v>
      </c>
      <c r="AK43" s="58">
        <f>+'Tuition-4Yr'!AK43+'State Appropriations-4Yr'!AK43+'Local Appropriations-4Yr'!AK43+'Fed Contracts Grnts-4Yr'!AK43+'Other Contract Grnts-4Yr'!AK43+'Investment Income-4Yr'!AK43+'All Other E&amp;G-4Yr'!AK43</f>
        <v>2863950.844</v>
      </c>
    </row>
    <row r="44" spans="1:37" ht="12.75" customHeight="1">
      <c r="A44" s="1" t="s">
        <v>56</v>
      </c>
      <c r="B44" s="58">
        <f>+'Tuition-4Yr'!B44+'State Appropriations-4Yr'!B44+'Local Appropriations-4Yr'!B44+'Fed Contracts Grnts-4Yr'!B44+'Other Contract Grnts-4Yr'!B44+'Investment Income-4Yr'!B44+'All Other E&amp;G-4Yr'!B44</f>
        <v>0</v>
      </c>
      <c r="C44" s="58">
        <f>+'Tuition-4Yr'!C44+'State Appropriations-4Yr'!C44+'Local Appropriations-4Yr'!C44+'Fed Contracts Grnts-4Yr'!C44+'Other Contract Grnts-4Yr'!C44+'Investment Income-4Yr'!C44+'All Other E&amp;G-4Yr'!C44</f>
        <v>0</v>
      </c>
      <c r="D44" s="58">
        <f>+'Tuition-4Yr'!D44+'State Appropriations-4Yr'!D44+'Local Appropriations-4Yr'!D44+'Fed Contracts Grnts-4Yr'!D44+'Other Contract Grnts-4Yr'!D44+'Investment Income-4Yr'!D44+'All Other E&amp;G-4Yr'!D44</f>
        <v>0</v>
      </c>
      <c r="E44" s="58">
        <f>+'Tuition-4Yr'!E44+'State Appropriations-4Yr'!E44+'Local Appropriations-4Yr'!E44+'Fed Contracts Grnts-4Yr'!E44+'Other Contract Grnts-4Yr'!E44+'Investment Income-4Yr'!E44+'All Other E&amp;G-4Yr'!E44</f>
        <v>0</v>
      </c>
      <c r="F44" s="58">
        <f>+'Tuition-4Yr'!F44+'State Appropriations-4Yr'!F44+'Local Appropriations-4Yr'!F44+'Fed Contracts Grnts-4Yr'!F44+'Other Contract Grnts-4Yr'!F44+'Investment Income-4Yr'!F44+'All Other E&amp;G-4Yr'!F44</f>
        <v>0</v>
      </c>
      <c r="G44" s="58">
        <f>+'Tuition-4Yr'!G44+'State Appropriations-4Yr'!G44+'Local Appropriations-4Yr'!G44+'Fed Contracts Grnts-4Yr'!G44+'Other Contract Grnts-4Yr'!G44+'Investment Income-4Yr'!G44+'All Other E&amp;G-4Yr'!G44</f>
        <v>0</v>
      </c>
      <c r="H44" s="58">
        <f>+'Tuition-4Yr'!H44+'State Appropriations-4Yr'!H44+'Local Appropriations-4Yr'!H44+'Fed Contracts Grnts-4Yr'!H44+'Other Contract Grnts-4Yr'!H44+'Investment Income-4Yr'!H44+'All Other E&amp;G-4Yr'!H44</f>
        <v>0</v>
      </c>
      <c r="I44" s="58">
        <f>+'Tuition-4Yr'!I44+'State Appropriations-4Yr'!I44+'Local Appropriations-4Yr'!I44+'Fed Contracts Grnts-4Yr'!I44+'Other Contract Grnts-4Yr'!I44+'Investment Income-4Yr'!I44+'All Other E&amp;G-4Yr'!I44</f>
        <v>0</v>
      </c>
      <c r="J44" s="58">
        <f>+'Tuition-4Yr'!J44+'State Appropriations-4Yr'!J44+'Local Appropriations-4Yr'!J44+'Fed Contracts Grnts-4Yr'!J44+'Other Contract Grnts-4Yr'!J44+'Investment Income-4Yr'!J44+'All Other E&amp;G-4Yr'!J44</f>
        <v>3145435.8160000001</v>
      </c>
      <c r="K44" s="58">
        <f>+'Tuition-4Yr'!K44+'State Appropriations-4Yr'!K44+'Local Appropriations-4Yr'!K44+'Fed Contracts Grnts-4Yr'!K44+'Other Contract Grnts-4Yr'!K44+'Investment Income-4Yr'!K44+'All Other E&amp;G-4Yr'!K44</f>
        <v>0</v>
      </c>
      <c r="L44" s="58">
        <f>+'Tuition-4Yr'!L44+'State Appropriations-4Yr'!L44+'Local Appropriations-4Yr'!L44+'Fed Contracts Grnts-4Yr'!L44+'Other Contract Grnts-4Yr'!L44+'Investment Income-4Yr'!L44+'All Other E&amp;G-4Yr'!L44</f>
        <v>0</v>
      </c>
      <c r="M44" s="58">
        <f>+'Tuition-4Yr'!M44+'State Appropriations-4Yr'!M44+'Local Appropriations-4Yr'!M44+'Fed Contracts Grnts-4Yr'!M44+'Other Contract Grnts-4Yr'!M44+'Investment Income-4Yr'!M44+'All Other E&amp;G-4Yr'!M44</f>
        <v>3535171.8060000003</v>
      </c>
      <c r="N44" s="58">
        <f>+'Tuition-4Yr'!N44+'State Appropriations-4Yr'!N44+'Local Appropriations-4Yr'!N44+'Fed Contracts Grnts-4Yr'!N44+'Other Contract Grnts-4Yr'!N44+'Investment Income-4Yr'!N44+'All Other E&amp;G-4Yr'!N44</f>
        <v>0</v>
      </c>
      <c r="O44" s="58">
        <f>+'Tuition-4Yr'!O44+'State Appropriations-4Yr'!O44+'Local Appropriations-4Yr'!O44+'Fed Contracts Grnts-4Yr'!O44+'Other Contract Grnts-4Yr'!O44+'Investment Income-4Yr'!O44+'All Other E&amp;G-4Yr'!O44</f>
        <v>3983679.5309999995</v>
      </c>
      <c r="P44" s="58">
        <f>+'Tuition-4Yr'!P44+'State Appropriations-4Yr'!P44+'Local Appropriations-4Yr'!P44+'Fed Contracts Grnts-4Yr'!P44+'Other Contract Grnts-4Yr'!P44+'Investment Income-4Yr'!P44+'All Other E&amp;G-4Yr'!P44</f>
        <v>0</v>
      </c>
      <c r="Q44" s="58">
        <f>+'Tuition-4Yr'!Q44+'State Appropriations-4Yr'!Q44+'Local Appropriations-4Yr'!Q44+'Fed Contracts Grnts-4Yr'!Q44+'Other Contract Grnts-4Yr'!Q44+'Investment Income-4Yr'!Q44+'All Other E&amp;G-4Yr'!Q44</f>
        <v>0</v>
      </c>
      <c r="R44" s="58">
        <f>+'Tuition-4Yr'!R44+'State Appropriations-4Yr'!R44+'Local Appropriations-4Yr'!R44+'Fed Contracts Grnts-4Yr'!R44+'Other Contract Grnts-4Yr'!R44+'Investment Income-4Yr'!R44+'All Other E&amp;G-4Yr'!R44</f>
        <v>4789212.1439999994</v>
      </c>
      <c r="S44" s="58">
        <f>+'Tuition-4Yr'!S44+'State Appropriations-4Yr'!S44+'Local Appropriations-4Yr'!S44+'Fed Contracts Grnts-4Yr'!S44+'Other Contract Grnts-4Yr'!S44+'Investment Income-4Yr'!S44+'All Other E&amp;G-4Yr'!S44</f>
        <v>5077063.0200000005</v>
      </c>
      <c r="T44" s="58">
        <f>+'Tuition-4Yr'!T44+'State Appropriations-4Yr'!T44+'Local Appropriations-4Yr'!T44+'Fed Contracts Grnts-4Yr'!T44+'Other Contract Grnts-4Yr'!T44+'Investment Income-4Yr'!T44+'All Other E&amp;G-4Yr'!T44</f>
        <v>5568789.4440000001</v>
      </c>
      <c r="U44" s="58">
        <f>+'Tuition-4Yr'!U44+'State Appropriations-4Yr'!U44+'Local Appropriations-4Yr'!U44+'Fed Contracts Grnts-4Yr'!U44+'Other Contract Grnts-4Yr'!U44+'Investment Income-4Yr'!U44+'All Other E&amp;G-4Yr'!U44</f>
        <v>5570133.9569999995</v>
      </c>
      <c r="V44" s="58">
        <f>+'Tuition-4Yr'!V44+'State Appropriations-4Yr'!V44+'Local Appropriations-4Yr'!V44+'Fed Contracts Grnts-4Yr'!V44+'Other Contract Grnts-4Yr'!V44+'Investment Income-4Yr'!V44+'All Other E&amp;G-4Yr'!V44</f>
        <v>6237140.4220000012</v>
      </c>
      <c r="W44" s="58">
        <f>+'Tuition-4Yr'!W44+'State Appropriations-4Yr'!W44+'Local Appropriations-4Yr'!W44+'Fed Contracts Grnts-4Yr'!W44+'Other Contract Grnts-4Yr'!W44+'Investment Income-4Yr'!W44+'All Other E&amp;G-4Yr'!W44</f>
        <v>7042221.8269999996</v>
      </c>
      <c r="X44" s="58">
        <f>+'Tuition-4Yr'!X44+'State Appropriations-4Yr'!X44+'Local Appropriations-4Yr'!X44+'Fed Contracts Grnts-4Yr'!X44+'Other Contract Grnts-4Yr'!X44+'Investment Income-4Yr'!X44+'All Other E&amp;G-4Yr'!X44</f>
        <v>6965041.2389999991</v>
      </c>
      <c r="Y44" s="58">
        <f>+'Tuition-4Yr'!Y44+'State Appropriations-4Yr'!Y44+'Local Appropriations-4Yr'!Y44+'Fed Contracts Grnts-4Yr'!Y44+'Other Contract Grnts-4Yr'!Y44+'Investment Income-4Yr'!Y44+'All Other E&amp;G-4Yr'!Y44</f>
        <v>7895099.6509999996</v>
      </c>
      <c r="Z44" s="58">
        <f>+'Tuition-4Yr'!Z44+'State Appropriations-4Yr'!Z44+'Local Appropriations-4Yr'!Z44+'Fed Contracts Grnts-4Yr'!Z44+'Other Contract Grnts-4Yr'!Z44+'Investment Income-4Yr'!Z44+'All Other E&amp;G-4Yr'!Z44</f>
        <v>6830768.1779999994</v>
      </c>
      <c r="AA44" s="58">
        <f>+'Tuition-4Yr'!AA44+'State Appropriations-4Yr'!AA44+'Local Appropriations-4Yr'!AA44+'Fed Contracts Grnts-4Yr'!AA44+'Other Contract Grnts-4Yr'!AA44+'Investment Income-4Yr'!AA44+'All Other E&amp;G-4Yr'!AA44</f>
        <v>4748204.4359999998</v>
      </c>
      <c r="AB44" s="58">
        <f>+'Tuition-4Yr'!AB44+'State Appropriations-4Yr'!AB44+'Local Appropriations-4Yr'!AB44+'Fed Contracts Grnts-4Yr'!AB44+'Other Contract Grnts-4Yr'!AB44+'Investment Income-4Yr'!AB44+'All Other E&amp;G-4Yr'!AB44</f>
        <v>8761845.932</v>
      </c>
      <c r="AC44" s="58">
        <f>+'Tuition-4Yr'!AC44+'State Appropriations-4Yr'!AC44+'Local Appropriations-4Yr'!AC44+'Fed Contracts Grnts-4Yr'!AC44+'Other Contract Grnts-4Yr'!AC44+'Investment Income-4Yr'!AC44+'All Other E&amp;G-4Yr'!AC44</f>
        <v>10114628</v>
      </c>
      <c r="AD44" s="58">
        <f>+'Tuition-4Yr'!AD44+'State Appropriations-4Yr'!AD44+'Local Appropriations-4Yr'!AD44+'Fed Contracts Grnts-4Yr'!AD44+'Other Contract Grnts-4Yr'!AD44+'Investment Income-4Yr'!AD44+'All Other E&amp;G-4Yr'!AD44</f>
        <v>8227260.2069999995</v>
      </c>
      <c r="AE44" s="58">
        <f>+'Tuition-4Yr'!AE44+'State Appropriations-4Yr'!AE44+'Local Appropriations-4Yr'!AE44+'Fed Contracts Grnts-4Yr'!AE44+'Other Contract Grnts-4Yr'!AE44+'Investment Income-4Yr'!AE44+'All Other E&amp;G-4Yr'!AE44</f>
        <v>9560647.9139999989</v>
      </c>
      <c r="AF44" s="58">
        <f>+'Tuition-4Yr'!AF44+'State Appropriations-4Yr'!AF44+'Local Appropriations-4Yr'!AF44+'Fed Contracts Grnts-4Yr'!AF44+'Other Contract Grnts-4Yr'!AF44+'Investment Income-4Yr'!AF44+'All Other E&amp;G-4Yr'!AF44</f>
        <v>10307577.704</v>
      </c>
      <c r="AG44" s="58">
        <f>+'Tuition-4Yr'!AG44+'State Appropriations-4Yr'!AG44+'Local Appropriations-4Yr'!AG44+'Fed Contracts Grnts-4Yr'!AG44+'Other Contract Grnts-4Yr'!AG44+'Investment Income-4Yr'!AG44+'All Other E&amp;G-4Yr'!AG44</f>
        <v>9464031.9509999994</v>
      </c>
      <c r="AH44" s="58">
        <f>+'Tuition-4Yr'!AH44+'State Appropriations-4Yr'!AH44+'Local Appropriations-4Yr'!AH44+'Fed Contracts Grnts-4Yr'!AH44+'Other Contract Grnts-4Yr'!AH44+'Investment Income-4Yr'!AH44+'All Other E&amp;G-4Yr'!AH44</f>
        <v>8961295.3519999981</v>
      </c>
      <c r="AI44" s="58">
        <f>+'Tuition-4Yr'!AI44+'State Appropriations-4Yr'!AI44+'Local Appropriations-4Yr'!AI44+'Fed Contracts Grnts-4Yr'!AI44+'Other Contract Grnts-4Yr'!AI44+'Investment Income-4Yr'!AI44+'All Other E&amp;G-4Yr'!AI44</f>
        <v>11634373.348999999</v>
      </c>
      <c r="AJ44" s="58">
        <f>+'Tuition-4Yr'!AJ44+'State Appropriations-4Yr'!AJ44+'Local Appropriations-4Yr'!AJ44+'Fed Contracts Grnts-4Yr'!AJ44+'Other Contract Grnts-4Yr'!AJ44+'Investment Income-4Yr'!AJ44+'All Other E&amp;G-4Yr'!AJ44</f>
        <v>0</v>
      </c>
      <c r="AK44" s="58">
        <f>+'Tuition-4Yr'!AK44+'State Appropriations-4Yr'!AK44+'Local Appropriations-4Yr'!AK44+'Fed Contracts Grnts-4Yr'!AK44+'Other Contract Grnts-4Yr'!AK44+'Investment Income-4Yr'!AK44+'All Other E&amp;G-4Yr'!AK44</f>
        <v>11867211.59</v>
      </c>
    </row>
    <row r="45" spans="1:37" ht="12.75" customHeight="1">
      <c r="A45" s="1" t="s">
        <v>57</v>
      </c>
      <c r="B45" s="58">
        <f>+'Tuition-4Yr'!B45+'State Appropriations-4Yr'!B45+'Local Appropriations-4Yr'!B45+'Fed Contracts Grnts-4Yr'!B45+'Other Contract Grnts-4Yr'!B45+'Investment Income-4Yr'!B45+'All Other E&amp;G-4Yr'!B45</f>
        <v>0</v>
      </c>
      <c r="C45" s="58">
        <f>+'Tuition-4Yr'!C45+'State Appropriations-4Yr'!C45+'Local Appropriations-4Yr'!C45+'Fed Contracts Grnts-4Yr'!C45+'Other Contract Grnts-4Yr'!C45+'Investment Income-4Yr'!C45+'All Other E&amp;G-4Yr'!C45</f>
        <v>0</v>
      </c>
      <c r="D45" s="58">
        <f>+'Tuition-4Yr'!D45+'State Appropriations-4Yr'!D45+'Local Appropriations-4Yr'!D45+'Fed Contracts Grnts-4Yr'!D45+'Other Contract Grnts-4Yr'!D45+'Investment Income-4Yr'!D45+'All Other E&amp;G-4Yr'!D45</f>
        <v>0</v>
      </c>
      <c r="E45" s="58">
        <f>+'Tuition-4Yr'!E45+'State Appropriations-4Yr'!E45+'Local Appropriations-4Yr'!E45+'Fed Contracts Grnts-4Yr'!E45+'Other Contract Grnts-4Yr'!E45+'Investment Income-4Yr'!E45+'All Other E&amp;G-4Yr'!E45</f>
        <v>0</v>
      </c>
      <c r="F45" s="58">
        <f>+'Tuition-4Yr'!F45+'State Appropriations-4Yr'!F45+'Local Appropriations-4Yr'!F45+'Fed Contracts Grnts-4Yr'!F45+'Other Contract Grnts-4Yr'!F45+'Investment Income-4Yr'!F45+'All Other E&amp;G-4Yr'!F45</f>
        <v>0</v>
      </c>
      <c r="G45" s="58">
        <f>+'Tuition-4Yr'!G45+'State Appropriations-4Yr'!G45+'Local Appropriations-4Yr'!G45+'Fed Contracts Grnts-4Yr'!G45+'Other Contract Grnts-4Yr'!G45+'Investment Income-4Yr'!G45+'All Other E&amp;G-4Yr'!G45</f>
        <v>0</v>
      </c>
      <c r="H45" s="58">
        <f>+'Tuition-4Yr'!H45+'State Appropriations-4Yr'!H45+'Local Appropriations-4Yr'!H45+'Fed Contracts Grnts-4Yr'!H45+'Other Contract Grnts-4Yr'!H45+'Investment Income-4Yr'!H45+'All Other E&amp;G-4Yr'!H45</f>
        <v>0</v>
      </c>
      <c r="I45" s="58">
        <f>+'Tuition-4Yr'!I45+'State Appropriations-4Yr'!I45+'Local Appropriations-4Yr'!I45+'Fed Contracts Grnts-4Yr'!I45+'Other Contract Grnts-4Yr'!I45+'Investment Income-4Yr'!I45+'All Other E&amp;G-4Yr'!I45</f>
        <v>0</v>
      </c>
      <c r="J45" s="58">
        <f>+'Tuition-4Yr'!J45+'State Appropriations-4Yr'!J45+'Local Appropriations-4Yr'!J45+'Fed Contracts Grnts-4Yr'!J45+'Other Contract Grnts-4Yr'!J45+'Investment Income-4Yr'!J45+'All Other E&amp;G-4Yr'!J45</f>
        <v>1446968.1539999999</v>
      </c>
      <c r="K45" s="58">
        <f>+'Tuition-4Yr'!K45+'State Appropriations-4Yr'!K45+'Local Appropriations-4Yr'!K45+'Fed Contracts Grnts-4Yr'!K45+'Other Contract Grnts-4Yr'!K45+'Investment Income-4Yr'!K45+'All Other E&amp;G-4Yr'!K45</f>
        <v>0</v>
      </c>
      <c r="L45" s="58">
        <f>+'Tuition-4Yr'!L45+'State Appropriations-4Yr'!L45+'Local Appropriations-4Yr'!L45+'Fed Contracts Grnts-4Yr'!L45+'Other Contract Grnts-4Yr'!L45+'Investment Income-4Yr'!L45+'All Other E&amp;G-4Yr'!L45</f>
        <v>0</v>
      </c>
      <c r="M45" s="58">
        <f>+'Tuition-4Yr'!M45+'State Appropriations-4Yr'!M45+'Local Appropriations-4Yr'!M45+'Fed Contracts Grnts-4Yr'!M45+'Other Contract Grnts-4Yr'!M45+'Investment Income-4Yr'!M45+'All Other E&amp;G-4Yr'!M45</f>
        <v>1622596.4020000002</v>
      </c>
      <c r="N45" s="58">
        <f>+'Tuition-4Yr'!N45+'State Appropriations-4Yr'!N45+'Local Appropriations-4Yr'!N45+'Fed Contracts Grnts-4Yr'!N45+'Other Contract Grnts-4Yr'!N45+'Investment Income-4Yr'!N45+'All Other E&amp;G-4Yr'!N45</f>
        <v>0</v>
      </c>
      <c r="O45" s="58">
        <f>+'Tuition-4Yr'!O45+'State Appropriations-4Yr'!O45+'Local Appropriations-4Yr'!O45+'Fed Contracts Grnts-4Yr'!O45+'Other Contract Grnts-4Yr'!O45+'Investment Income-4Yr'!O45+'All Other E&amp;G-4Yr'!O45</f>
        <v>1746462.0210000002</v>
      </c>
      <c r="P45" s="58">
        <f>+'Tuition-4Yr'!P45+'State Appropriations-4Yr'!P45+'Local Appropriations-4Yr'!P45+'Fed Contracts Grnts-4Yr'!P45+'Other Contract Grnts-4Yr'!P45+'Investment Income-4Yr'!P45+'All Other E&amp;G-4Yr'!P45</f>
        <v>0</v>
      </c>
      <c r="Q45" s="58">
        <f>+'Tuition-4Yr'!Q45+'State Appropriations-4Yr'!Q45+'Local Appropriations-4Yr'!Q45+'Fed Contracts Grnts-4Yr'!Q45+'Other Contract Grnts-4Yr'!Q45+'Investment Income-4Yr'!Q45+'All Other E&amp;G-4Yr'!Q45</f>
        <v>0</v>
      </c>
      <c r="R45" s="58">
        <f>+'Tuition-4Yr'!R45+'State Appropriations-4Yr'!R45+'Local Appropriations-4Yr'!R45+'Fed Contracts Grnts-4Yr'!R45+'Other Contract Grnts-4Yr'!R45+'Investment Income-4Yr'!R45+'All Other E&amp;G-4Yr'!R45</f>
        <v>2071779.8930000002</v>
      </c>
      <c r="S45" s="58">
        <f>+'Tuition-4Yr'!S45+'State Appropriations-4Yr'!S45+'Local Appropriations-4Yr'!S45+'Fed Contracts Grnts-4Yr'!S45+'Other Contract Grnts-4Yr'!S45+'Investment Income-4Yr'!S45+'All Other E&amp;G-4Yr'!S45</f>
        <v>2207698.4069999997</v>
      </c>
      <c r="T45" s="58">
        <f>+'Tuition-4Yr'!T45+'State Appropriations-4Yr'!T45+'Local Appropriations-4Yr'!T45+'Fed Contracts Grnts-4Yr'!T45+'Other Contract Grnts-4Yr'!T45+'Investment Income-4Yr'!T45+'All Other E&amp;G-4Yr'!T45</f>
        <v>2322433.2560000001</v>
      </c>
      <c r="U45" s="58">
        <f>+'Tuition-4Yr'!U45+'State Appropriations-4Yr'!U45+'Local Appropriations-4Yr'!U45+'Fed Contracts Grnts-4Yr'!U45+'Other Contract Grnts-4Yr'!U45+'Investment Income-4Yr'!U45+'All Other E&amp;G-4Yr'!U45</f>
        <v>2439545.2070000004</v>
      </c>
      <c r="V45" s="58">
        <f>+'Tuition-4Yr'!V45+'State Appropriations-4Yr'!V45+'Local Appropriations-4Yr'!V45+'Fed Contracts Grnts-4Yr'!V45+'Other Contract Grnts-4Yr'!V45+'Investment Income-4Yr'!V45+'All Other E&amp;G-4Yr'!V45</f>
        <v>2595493.4280000003</v>
      </c>
      <c r="W45" s="58">
        <f>+'Tuition-4Yr'!W45+'State Appropriations-4Yr'!W45+'Local Appropriations-4Yr'!W45+'Fed Contracts Grnts-4Yr'!W45+'Other Contract Grnts-4Yr'!W45+'Investment Income-4Yr'!W45+'All Other E&amp;G-4Yr'!W45</f>
        <v>2871003.8380000005</v>
      </c>
      <c r="X45" s="58">
        <f>+'Tuition-4Yr'!X45+'State Appropriations-4Yr'!X45+'Local Appropriations-4Yr'!X45+'Fed Contracts Grnts-4Yr'!X45+'Other Contract Grnts-4Yr'!X45+'Investment Income-4Yr'!X45+'All Other E&amp;G-4Yr'!X45</f>
        <v>2809300.6880000001</v>
      </c>
      <c r="Y45" s="58">
        <f>+'Tuition-4Yr'!Y45+'State Appropriations-4Yr'!Y45+'Local Appropriations-4Yr'!Y45+'Fed Contracts Grnts-4Yr'!Y45+'Other Contract Grnts-4Yr'!Y45+'Investment Income-4Yr'!Y45+'All Other E&amp;G-4Yr'!Y45</f>
        <v>2957795.3470000001</v>
      </c>
      <c r="Z45" s="58">
        <f>+'Tuition-4Yr'!Z45+'State Appropriations-4Yr'!Z45+'Local Appropriations-4Yr'!Z45+'Fed Contracts Grnts-4Yr'!Z45+'Other Contract Grnts-4Yr'!Z45+'Investment Income-4Yr'!Z45+'All Other E&amp;G-4Yr'!Z45</f>
        <v>2974748.091</v>
      </c>
      <c r="AA45" s="58">
        <f>+'Tuition-4Yr'!AA45+'State Appropriations-4Yr'!AA45+'Local Appropriations-4Yr'!AA45+'Fed Contracts Grnts-4Yr'!AA45+'Other Contract Grnts-4Yr'!AA45+'Investment Income-4Yr'!AA45+'All Other E&amp;G-4Yr'!AA45</f>
        <v>2910151.26</v>
      </c>
      <c r="AB45" s="58">
        <f>+'Tuition-4Yr'!AB45+'State Appropriations-4Yr'!AB45+'Local Appropriations-4Yr'!AB45+'Fed Contracts Grnts-4Yr'!AB45+'Other Contract Grnts-4Yr'!AB45+'Investment Income-4Yr'!AB45+'All Other E&amp;G-4Yr'!AB45</f>
        <v>3684866.0019999999</v>
      </c>
      <c r="AC45" s="58">
        <f>+'Tuition-4Yr'!AC45+'State Appropriations-4Yr'!AC45+'Local Appropriations-4Yr'!AC45+'Fed Contracts Grnts-4Yr'!AC45+'Other Contract Grnts-4Yr'!AC45+'Investment Income-4Yr'!AC45+'All Other E&amp;G-4Yr'!AC45</f>
        <v>3841784</v>
      </c>
      <c r="AD45" s="58">
        <f>+'Tuition-4Yr'!AD45+'State Appropriations-4Yr'!AD45+'Local Appropriations-4Yr'!AD45+'Fed Contracts Grnts-4Yr'!AD45+'Other Contract Grnts-4Yr'!AD45+'Investment Income-4Yr'!AD45+'All Other E&amp;G-4Yr'!AD45</f>
        <v>3694263.4630000005</v>
      </c>
      <c r="AE45" s="58">
        <f>+'Tuition-4Yr'!AE45+'State Appropriations-4Yr'!AE45+'Local Appropriations-4Yr'!AE45+'Fed Contracts Grnts-4Yr'!AE45+'Other Contract Grnts-4Yr'!AE45+'Investment Income-4Yr'!AE45+'All Other E&amp;G-4Yr'!AE45</f>
        <v>3860913.858</v>
      </c>
      <c r="AF45" s="58">
        <f>+'Tuition-4Yr'!AF45+'State Appropriations-4Yr'!AF45+'Local Appropriations-4Yr'!AF45+'Fed Contracts Grnts-4Yr'!AF45+'Other Contract Grnts-4Yr'!AF45+'Investment Income-4Yr'!AF45+'All Other E&amp;G-4Yr'!AF45</f>
        <v>3930142.2909999997</v>
      </c>
      <c r="AG45" s="58">
        <f>+'Tuition-4Yr'!AG45+'State Appropriations-4Yr'!AG45+'Local Appropriations-4Yr'!AG45+'Fed Contracts Grnts-4Yr'!AG45+'Other Contract Grnts-4Yr'!AG45+'Investment Income-4Yr'!AG45+'All Other E&amp;G-4Yr'!AG45</f>
        <v>3979971.7349999999</v>
      </c>
      <c r="AH45" s="58">
        <f>+'Tuition-4Yr'!AH45+'State Appropriations-4Yr'!AH45+'Local Appropriations-4Yr'!AH45+'Fed Contracts Grnts-4Yr'!AH45+'Other Contract Grnts-4Yr'!AH45+'Investment Income-4Yr'!AH45+'All Other E&amp;G-4Yr'!AH45</f>
        <v>4073119.5739999996</v>
      </c>
      <c r="AI45" s="58">
        <f>+'Tuition-4Yr'!AI45+'State Appropriations-4Yr'!AI45+'Local Appropriations-4Yr'!AI45+'Fed Contracts Grnts-4Yr'!AI45+'Other Contract Grnts-4Yr'!AI45+'Investment Income-4Yr'!AI45+'All Other E&amp;G-4Yr'!AI45</f>
        <v>4191780.8690000004</v>
      </c>
      <c r="AJ45" s="58">
        <f>+'Tuition-4Yr'!AJ45+'State Appropriations-4Yr'!AJ45+'Local Appropriations-4Yr'!AJ45+'Fed Contracts Grnts-4Yr'!AJ45+'Other Contract Grnts-4Yr'!AJ45+'Investment Income-4Yr'!AJ45+'All Other E&amp;G-4Yr'!AJ45</f>
        <v>0</v>
      </c>
      <c r="AK45" s="58">
        <f>+'Tuition-4Yr'!AK45+'State Appropriations-4Yr'!AK45+'Local Appropriations-4Yr'!AK45+'Fed Contracts Grnts-4Yr'!AK45+'Other Contract Grnts-4Yr'!AK45+'Investment Income-4Yr'!AK45+'All Other E&amp;G-4Yr'!AK45</f>
        <v>4672938.5820000004</v>
      </c>
    </row>
    <row r="46" spans="1:37" ht="12.75" customHeight="1">
      <c r="A46" s="1" t="s">
        <v>58</v>
      </c>
      <c r="B46" s="58">
        <f>+'Tuition-4Yr'!B46+'State Appropriations-4Yr'!B46+'Local Appropriations-4Yr'!B46+'Fed Contracts Grnts-4Yr'!B46+'Other Contract Grnts-4Yr'!B46+'Investment Income-4Yr'!B46+'All Other E&amp;G-4Yr'!B46</f>
        <v>0</v>
      </c>
      <c r="C46" s="58">
        <f>+'Tuition-4Yr'!C46+'State Appropriations-4Yr'!C46+'Local Appropriations-4Yr'!C46+'Fed Contracts Grnts-4Yr'!C46+'Other Contract Grnts-4Yr'!C46+'Investment Income-4Yr'!C46+'All Other E&amp;G-4Yr'!C46</f>
        <v>0</v>
      </c>
      <c r="D46" s="58">
        <f>+'Tuition-4Yr'!D46+'State Appropriations-4Yr'!D46+'Local Appropriations-4Yr'!D46+'Fed Contracts Grnts-4Yr'!D46+'Other Contract Grnts-4Yr'!D46+'Investment Income-4Yr'!D46+'All Other E&amp;G-4Yr'!D46</f>
        <v>0</v>
      </c>
      <c r="E46" s="58">
        <f>+'Tuition-4Yr'!E46+'State Appropriations-4Yr'!E46+'Local Appropriations-4Yr'!E46+'Fed Contracts Grnts-4Yr'!E46+'Other Contract Grnts-4Yr'!E46+'Investment Income-4Yr'!E46+'All Other E&amp;G-4Yr'!E46</f>
        <v>0</v>
      </c>
      <c r="F46" s="58">
        <f>+'Tuition-4Yr'!F46+'State Appropriations-4Yr'!F46+'Local Appropriations-4Yr'!F46+'Fed Contracts Grnts-4Yr'!F46+'Other Contract Grnts-4Yr'!F46+'Investment Income-4Yr'!F46+'All Other E&amp;G-4Yr'!F46</f>
        <v>0</v>
      </c>
      <c r="G46" s="58">
        <f>+'Tuition-4Yr'!G46+'State Appropriations-4Yr'!G46+'Local Appropriations-4Yr'!G46+'Fed Contracts Grnts-4Yr'!G46+'Other Contract Grnts-4Yr'!G46+'Investment Income-4Yr'!G46+'All Other E&amp;G-4Yr'!G46</f>
        <v>0</v>
      </c>
      <c r="H46" s="58">
        <f>+'Tuition-4Yr'!H46+'State Appropriations-4Yr'!H46+'Local Appropriations-4Yr'!H46+'Fed Contracts Grnts-4Yr'!H46+'Other Contract Grnts-4Yr'!H46+'Investment Income-4Yr'!H46+'All Other E&amp;G-4Yr'!H46</f>
        <v>0</v>
      </c>
      <c r="I46" s="58">
        <f>+'Tuition-4Yr'!I46+'State Appropriations-4Yr'!I46+'Local Appropriations-4Yr'!I46+'Fed Contracts Grnts-4Yr'!I46+'Other Contract Grnts-4Yr'!I46+'Investment Income-4Yr'!I46+'All Other E&amp;G-4Yr'!I46</f>
        <v>0</v>
      </c>
      <c r="J46" s="58">
        <f>+'Tuition-4Yr'!J46+'State Appropriations-4Yr'!J46+'Local Appropriations-4Yr'!J46+'Fed Contracts Grnts-4Yr'!J46+'Other Contract Grnts-4Yr'!J46+'Investment Income-4Yr'!J46+'All Other E&amp;G-4Yr'!J46</f>
        <v>1032455.9029999999</v>
      </c>
      <c r="K46" s="58">
        <f>+'Tuition-4Yr'!K46+'State Appropriations-4Yr'!K46+'Local Appropriations-4Yr'!K46+'Fed Contracts Grnts-4Yr'!K46+'Other Contract Grnts-4Yr'!K46+'Investment Income-4Yr'!K46+'All Other E&amp;G-4Yr'!K46</f>
        <v>0</v>
      </c>
      <c r="L46" s="58">
        <f>+'Tuition-4Yr'!L46+'State Appropriations-4Yr'!L46+'Local Appropriations-4Yr'!L46+'Fed Contracts Grnts-4Yr'!L46+'Other Contract Grnts-4Yr'!L46+'Investment Income-4Yr'!L46+'All Other E&amp;G-4Yr'!L46</f>
        <v>0</v>
      </c>
      <c r="M46" s="58">
        <f>+'Tuition-4Yr'!M46+'State Appropriations-4Yr'!M46+'Local Appropriations-4Yr'!M46+'Fed Contracts Grnts-4Yr'!M46+'Other Contract Grnts-4Yr'!M46+'Investment Income-4Yr'!M46+'All Other E&amp;G-4Yr'!M46</f>
        <v>1245686.9479999999</v>
      </c>
      <c r="N46" s="58">
        <f>+'Tuition-4Yr'!N46+'State Appropriations-4Yr'!N46+'Local Appropriations-4Yr'!N46+'Fed Contracts Grnts-4Yr'!N46+'Other Contract Grnts-4Yr'!N46+'Investment Income-4Yr'!N46+'All Other E&amp;G-4Yr'!N46</f>
        <v>0</v>
      </c>
      <c r="O46" s="58">
        <f>+'Tuition-4Yr'!O46+'State Appropriations-4Yr'!O46+'Local Appropriations-4Yr'!O46+'Fed Contracts Grnts-4Yr'!O46+'Other Contract Grnts-4Yr'!O46+'Investment Income-4Yr'!O46+'All Other E&amp;G-4Yr'!O46</f>
        <v>1496719.0060000001</v>
      </c>
      <c r="P46" s="58">
        <f>+'Tuition-4Yr'!P46+'State Appropriations-4Yr'!P46+'Local Appropriations-4Yr'!P46+'Fed Contracts Grnts-4Yr'!P46+'Other Contract Grnts-4Yr'!P46+'Investment Income-4Yr'!P46+'All Other E&amp;G-4Yr'!P46</f>
        <v>0</v>
      </c>
      <c r="Q46" s="58">
        <f>+'Tuition-4Yr'!Q46+'State Appropriations-4Yr'!Q46+'Local Appropriations-4Yr'!Q46+'Fed Contracts Grnts-4Yr'!Q46+'Other Contract Grnts-4Yr'!Q46+'Investment Income-4Yr'!Q46+'All Other E&amp;G-4Yr'!Q46</f>
        <v>0</v>
      </c>
      <c r="R46" s="58">
        <f>+'Tuition-4Yr'!R46+'State Appropriations-4Yr'!R46+'Local Appropriations-4Yr'!R46+'Fed Contracts Grnts-4Yr'!R46+'Other Contract Grnts-4Yr'!R46+'Investment Income-4Yr'!R46+'All Other E&amp;G-4Yr'!R46</f>
        <v>1697019.3370000001</v>
      </c>
      <c r="S46" s="58">
        <f>+'Tuition-4Yr'!S46+'State Appropriations-4Yr'!S46+'Local Appropriations-4Yr'!S46+'Fed Contracts Grnts-4Yr'!S46+'Other Contract Grnts-4Yr'!S46+'Investment Income-4Yr'!S46+'All Other E&amp;G-4Yr'!S46</f>
        <v>2158441.9780000001</v>
      </c>
      <c r="T46" s="58">
        <f>+'Tuition-4Yr'!T46+'State Appropriations-4Yr'!T46+'Local Appropriations-4Yr'!T46+'Fed Contracts Grnts-4Yr'!T46+'Other Contract Grnts-4Yr'!T46+'Investment Income-4Yr'!T46+'All Other E&amp;G-4Yr'!T46</f>
        <v>1672318.4570000002</v>
      </c>
      <c r="U46" s="58">
        <f>+'Tuition-4Yr'!U46+'State Appropriations-4Yr'!U46+'Local Appropriations-4Yr'!U46+'Fed Contracts Grnts-4Yr'!U46+'Other Contract Grnts-4Yr'!U46+'Investment Income-4Yr'!U46+'All Other E&amp;G-4Yr'!U46</f>
        <v>1741771.0789999999</v>
      </c>
      <c r="V46" s="58">
        <f>+'Tuition-4Yr'!V46+'State Appropriations-4Yr'!V46+'Local Appropriations-4Yr'!V46+'Fed Contracts Grnts-4Yr'!V46+'Other Contract Grnts-4Yr'!V46+'Investment Income-4Yr'!V46+'All Other E&amp;G-4Yr'!V46</f>
        <v>1851471.1410000001</v>
      </c>
      <c r="W46" s="58">
        <f>+'Tuition-4Yr'!W46+'State Appropriations-4Yr'!W46+'Local Appropriations-4Yr'!W46+'Fed Contracts Grnts-4Yr'!W46+'Other Contract Grnts-4Yr'!W46+'Investment Income-4Yr'!W46+'All Other E&amp;G-4Yr'!W46</f>
        <v>2193863.3199999998</v>
      </c>
      <c r="X46" s="58">
        <f>+'Tuition-4Yr'!X46+'State Appropriations-4Yr'!X46+'Local Appropriations-4Yr'!X46+'Fed Contracts Grnts-4Yr'!X46+'Other Contract Grnts-4Yr'!X46+'Investment Income-4Yr'!X46+'All Other E&amp;G-4Yr'!X46</f>
        <v>2063581.9610000001</v>
      </c>
      <c r="Y46" s="58">
        <f>+'Tuition-4Yr'!Y46+'State Appropriations-4Yr'!Y46+'Local Appropriations-4Yr'!Y46+'Fed Contracts Grnts-4Yr'!Y46+'Other Contract Grnts-4Yr'!Y46+'Investment Income-4Yr'!Y46+'All Other E&amp;G-4Yr'!Y46</f>
        <v>2169918.4649999999</v>
      </c>
      <c r="Z46" s="58">
        <f>+'Tuition-4Yr'!Z46+'State Appropriations-4Yr'!Z46+'Local Appropriations-4Yr'!Z46+'Fed Contracts Grnts-4Yr'!Z46+'Other Contract Grnts-4Yr'!Z46+'Investment Income-4Yr'!Z46+'All Other E&amp;G-4Yr'!Z46</f>
        <v>2129429.7820000001</v>
      </c>
      <c r="AA46" s="58">
        <f>+'Tuition-4Yr'!AA46+'State Appropriations-4Yr'!AA46+'Local Appropriations-4Yr'!AA46+'Fed Contracts Grnts-4Yr'!AA46+'Other Contract Grnts-4Yr'!AA46+'Investment Income-4Yr'!AA46+'All Other E&amp;G-4Yr'!AA46</f>
        <v>2353655.69</v>
      </c>
      <c r="AB46" s="58">
        <f>+'Tuition-4Yr'!AB46+'State Appropriations-4Yr'!AB46+'Local Appropriations-4Yr'!AB46+'Fed Contracts Grnts-4Yr'!AB46+'Other Contract Grnts-4Yr'!AB46+'Investment Income-4Yr'!AB46+'All Other E&amp;G-4Yr'!AB46</f>
        <v>2708295.75</v>
      </c>
      <c r="AC46" s="58">
        <f>+'Tuition-4Yr'!AC46+'State Appropriations-4Yr'!AC46+'Local Appropriations-4Yr'!AC46+'Fed Contracts Grnts-4Yr'!AC46+'Other Contract Grnts-4Yr'!AC46+'Investment Income-4Yr'!AC46+'All Other E&amp;G-4Yr'!AC46</f>
        <v>2797189</v>
      </c>
      <c r="AD46" s="58">
        <f>+'Tuition-4Yr'!AD46+'State Appropriations-4Yr'!AD46+'Local Appropriations-4Yr'!AD46+'Fed Contracts Grnts-4Yr'!AD46+'Other Contract Grnts-4Yr'!AD46+'Investment Income-4Yr'!AD46+'All Other E&amp;G-4Yr'!AD46</f>
        <v>2754632.1509999996</v>
      </c>
      <c r="AE46" s="58">
        <f>+'Tuition-4Yr'!AE46+'State Appropriations-4Yr'!AE46+'Local Appropriations-4Yr'!AE46+'Fed Contracts Grnts-4Yr'!AE46+'Other Contract Grnts-4Yr'!AE46+'Investment Income-4Yr'!AE46+'All Other E&amp;G-4Yr'!AE46</f>
        <v>2860678.736</v>
      </c>
      <c r="AF46" s="58">
        <f>+'Tuition-4Yr'!AF46+'State Appropriations-4Yr'!AF46+'Local Appropriations-4Yr'!AF46+'Fed Contracts Grnts-4Yr'!AF46+'Other Contract Grnts-4Yr'!AF46+'Investment Income-4Yr'!AF46+'All Other E&amp;G-4Yr'!AF46</f>
        <v>2938146.8819999998</v>
      </c>
      <c r="AG46" s="58">
        <f>+'Tuition-4Yr'!AG46+'State Appropriations-4Yr'!AG46+'Local Appropriations-4Yr'!AG46+'Fed Contracts Grnts-4Yr'!AG46+'Other Contract Grnts-4Yr'!AG46+'Investment Income-4Yr'!AG46+'All Other E&amp;G-4Yr'!AG46</f>
        <v>2954039.7249999996</v>
      </c>
      <c r="AH46" s="58">
        <f>+'Tuition-4Yr'!AH46+'State Appropriations-4Yr'!AH46+'Local Appropriations-4Yr'!AH46+'Fed Contracts Grnts-4Yr'!AH46+'Other Contract Grnts-4Yr'!AH46+'Investment Income-4Yr'!AH46+'All Other E&amp;G-4Yr'!AH46</f>
        <v>3002810.3810000001</v>
      </c>
      <c r="AI46" s="58">
        <f>+'Tuition-4Yr'!AI46+'State Appropriations-4Yr'!AI46+'Local Appropriations-4Yr'!AI46+'Fed Contracts Grnts-4Yr'!AI46+'Other Contract Grnts-4Yr'!AI46+'Investment Income-4Yr'!AI46+'All Other E&amp;G-4Yr'!AI46</f>
        <v>3090486.4489999996</v>
      </c>
      <c r="AJ46" s="58">
        <f>+'Tuition-4Yr'!AJ46+'State Appropriations-4Yr'!AJ46+'Local Appropriations-4Yr'!AJ46+'Fed Contracts Grnts-4Yr'!AJ46+'Other Contract Grnts-4Yr'!AJ46+'Investment Income-4Yr'!AJ46+'All Other E&amp;G-4Yr'!AJ46</f>
        <v>0</v>
      </c>
      <c r="AK46" s="58">
        <f>+'Tuition-4Yr'!AK46+'State Appropriations-4Yr'!AK46+'Local Appropriations-4Yr'!AK46+'Fed Contracts Grnts-4Yr'!AK46+'Other Contract Grnts-4Yr'!AK46+'Investment Income-4Yr'!AK46+'All Other E&amp;G-4Yr'!AK46</f>
        <v>3252496.6969999997</v>
      </c>
    </row>
    <row r="47" spans="1:37" ht="12.75" customHeight="1">
      <c r="A47" s="1" t="s">
        <v>59</v>
      </c>
      <c r="B47" s="58">
        <f>+'Tuition-4Yr'!B47+'State Appropriations-4Yr'!B47+'Local Appropriations-4Yr'!B47+'Fed Contracts Grnts-4Yr'!B47+'Other Contract Grnts-4Yr'!B47+'Investment Income-4Yr'!B47+'All Other E&amp;G-4Yr'!B47</f>
        <v>0</v>
      </c>
      <c r="C47" s="58">
        <f>+'Tuition-4Yr'!C47+'State Appropriations-4Yr'!C47+'Local Appropriations-4Yr'!C47+'Fed Contracts Grnts-4Yr'!C47+'Other Contract Grnts-4Yr'!C47+'Investment Income-4Yr'!C47+'All Other E&amp;G-4Yr'!C47</f>
        <v>0</v>
      </c>
      <c r="D47" s="58">
        <f>+'Tuition-4Yr'!D47+'State Appropriations-4Yr'!D47+'Local Appropriations-4Yr'!D47+'Fed Contracts Grnts-4Yr'!D47+'Other Contract Grnts-4Yr'!D47+'Investment Income-4Yr'!D47+'All Other E&amp;G-4Yr'!D47</f>
        <v>0</v>
      </c>
      <c r="E47" s="58">
        <f>+'Tuition-4Yr'!E47+'State Appropriations-4Yr'!E47+'Local Appropriations-4Yr'!E47+'Fed Contracts Grnts-4Yr'!E47+'Other Contract Grnts-4Yr'!E47+'Investment Income-4Yr'!E47+'All Other E&amp;G-4Yr'!E47</f>
        <v>0</v>
      </c>
      <c r="F47" s="58">
        <f>+'Tuition-4Yr'!F47+'State Appropriations-4Yr'!F47+'Local Appropriations-4Yr'!F47+'Fed Contracts Grnts-4Yr'!F47+'Other Contract Grnts-4Yr'!F47+'Investment Income-4Yr'!F47+'All Other E&amp;G-4Yr'!F47</f>
        <v>0</v>
      </c>
      <c r="G47" s="58">
        <f>+'Tuition-4Yr'!G47+'State Appropriations-4Yr'!G47+'Local Appropriations-4Yr'!G47+'Fed Contracts Grnts-4Yr'!G47+'Other Contract Grnts-4Yr'!G47+'Investment Income-4Yr'!G47+'All Other E&amp;G-4Yr'!G47</f>
        <v>0</v>
      </c>
      <c r="H47" s="58">
        <f>+'Tuition-4Yr'!H47+'State Appropriations-4Yr'!H47+'Local Appropriations-4Yr'!H47+'Fed Contracts Grnts-4Yr'!H47+'Other Contract Grnts-4Yr'!H47+'Investment Income-4Yr'!H47+'All Other E&amp;G-4Yr'!H47</f>
        <v>0</v>
      </c>
      <c r="I47" s="58">
        <f>+'Tuition-4Yr'!I47+'State Appropriations-4Yr'!I47+'Local Appropriations-4Yr'!I47+'Fed Contracts Grnts-4Yr'!I47+'Other Contract Grnts-4Yr'!I47+'Investment Income-4Yr'!I47+'All Other E&amp;G-4Yr'!I47</f>
        <v>0</v>
      </c>
      <c r="J47" s="58">
        <f>+'Tuition-4Yr'!J47+'State Appropriations-4Yr'!J47+'Local Appropriations-4Yr'!J47+'Fed Contracts Grnts-4Yr'!J47+'Other Contract Grnts-4Yr'!J47+'Investment Income-4Yr'!J47+'All Other E&amp;G-4Yr'!J47</f>
        <v>580409.16899999988</v>
      </c>
      <c r="K47" s="58">
        <f>+'Tuition-4Yr'!K47+'State Appropriations-4Yr'!K47+'Local Appropriations-4Yr'!K47+'Fed Contracts Grnts-4Yr'!K47+'Other Contract Grnts-4Yr'!K47+'Investment Income-4Yr'!K47+'All Other E&amp;G-4Yr'!K47</f>
        <v>0</v>
      </c>
      <c r="L47" s="58">
        <f>+'Tuition-4Yr'!L47+'State Appropriations-4Yr'!L47+'Local Appropriations-4Yr'!L47+'Fed Contracts Grnts-4Yr'!L47+'Other Contract Grnts-4Yr'!L47+'Investment Income-4Yr'!L47+'All Other E&amp;G-4Yr'!L47</f>
        <v>0</v>
      </c>
      <c r="M47" s="58">
        <f>+'Tuition-4Yr'!M47+'State Appropriations-4Yr'!M47+'Local Appropriations-4Yr'!M47+'Fed Contracts Grnts-4Yr'!M47+'Other Contract Grnts-4Yr'!M47+'Investment Income-4Yr'!M47+'All Other E&amp;G-4Yr'!M47</f>
        <v>643868.88499999989</v>
      </c>
      <c r="N47" s="58">
        <f>+'Tuition-4Yr'!N47+'State Appropriations-4Yr'!N47+'Local Appropriations-4Yr'!N47+'Fed Contracts Grnts-4Yr'!N47+'Other Contract Grnts-4Yr'!N47+'Investment Income-4Yr'!N47+'All Other E&amp;G-4Yr'!N47</f>
        <v>0</v>
      </c>
      <c r="O47" s="58">
        <f>+'Tuition-4Yr'!O47+'State Appropriations-4Yr'!O47+'Local Appropriations-4Yr'!O47+'Fed Contracts Grnts-4Yr'!O47+'Other Contract Grnts-4Yr'!O47+'Investment Income-4Yr'!O47+'All Other E&amp;G-4Yr'!O47</f>
        <v>747525.13600000006</v>
      </c>
      <c r="P47" s="58">
        <f>+'Tuition-4Yr'!P47+'State Appropriations-4Yr'!P47+'Local Appropriations-4Yr'!P47+'Fed Contracts Grnts-4Yr'!P47+'Other Contract Grnts-4Yr'!P47+'Investment Income-4Yr'!P47+'All Other E&amp;G-4Yr'!P47</f>
        <v>0</v>
      </c>
      <c r="Q47" s="58">
        <f>+'Tuition-4Yr'!Q47+'State Appropriations-4Yr'!Q47+'Local Appropriations-4Yr'!Q47+'Fed Contracts Grnts-4Yr'!Q47+'Other Contract Grnts-4Yr'!Q47+'Investment Income-4Yr'!Q47+'All Other E&amp;G-4Yr'!Q47</f>
        <v>0</v>
      </c>
      <c r="R47" s="58">
        <f>+'Tuition-4Yr'!R47+'State Appropriations-4Yr'!R47+'Local Appropriations-4Yr'!R47+'Fed Contracts Grnts-4Yr'!R47+'Other Contract Grnts-4Yr'!R47+'Investment Income-4Yr'!R47+'All Other E&amp;G-4Yr'!R47</f>
        <v>822509.99900000007</v>
      </c>
      <c r="S47" s="58">
        <f>+'Tuition-4Yr'!S47+'State Appropriations-4Yr'!S47+'Local Appropriations-4Yr'!S47+'Fed Contracts Grnts-4Yr'!S47+'Other Contract Grnts-4Yr'!S47+'Investment Income-4Yr'!S47+'All Other E&amp;G-4Yr'!S47</f>
        <v>884718.54700000025</v>
      </c>
      <c r="T47" s="58">
        <f>+'Tuition-4Yr'!T47+'State Appropriations-4Yr'!T47+'Local Appropriations-4Yr'!T47+'Fed Contracts Grnts-4Yr'!T47+'Other Contract Grnts-4Yr'!T47+'Investment Income-4Yr'!T47+'All Other E&amp;G-4Yr'!T47</f>
        <v>1069928.95</v>
      </c>
      <c r="U47" s="58">
        <f>+'Tuition-4Yr'!U47+'State Appropriations-4Yr'!U47+'Local Appropriations-4Yr'!U47+'Fed Contracts Grnts-4Yr'!U47+'Other Contract Grnts-4Yr'!U47+'Investment Income-4Yr'!U47+'All Other E&amp;G-4Yr'!U47</f>
        <v>1043496.0009999999</v>
      </c>
      <c r="V47" s="58">
        <f>+'Tuition-4Yr'!V47+'State Appropriations-4Yr'!V47+'Local Appropriations-4Yr'!V47+'Fed Contracts Grnts-4Yr'!V47+'Other Contract Grnts-4Yr'!V47+'Investment Income-4Yr'!V47+'All Other E&amp;G-4Yr'!V47</f>
        <v>1053937.9369999999</v>
      </c>
      <c r="W47" s="58">
        <f>+'Tuition-4Yr'!W47+'State Appropriations-4Yr'!W47+'Local Appropriations-4Yr'!W47+'Fed Contracts Grnts-4Yr'!W47+'Other Contract Grnts-4Yr'!W47+'Investment Income-4Yr'!W47+'All Other E&amp;G-4Yr'!W47</f>
        <v>1170233.4280000001</v>
      </c>
      <c r="X47" s="58">
        <f>+'Tuition-4Yr'!X47+'State Appropriations-4Yr'!X47+'Local Appropriations-4Yr'!X47+'Fed Contracts Grnts-4Yr'!X47+'Other Contract Grnts-4Yr'!X47+'Investment Income-4Yr'!X47+'All Other E&amp;G-4Yr'!X47</f>
        <v>1217914.571</v>
      </c>
      <c r="Y47" s="58">
        <f>+'Tuition-4Yr'!Y47+'State Appropriations-4Yr'!Y47+'Local Appropriations-4Yr'!Y47+'Fed Contracts Grnts-4Yr'!Y47+'Other Contract Grnts-4Yr'!Y47+'Investment Income-4Yr'!Y47+'All Other E&amp;G-4Yr'!Y47</f>
        <v>1277065.1500000001</v>
      </c>
      <c r="Z47" s="58">
        <f>+'Tuition-4Yr'!Z47+'State Appropriations-4Yr'!Z47+'Local Appropriations-4Yr'!Z47+'Fed Contracts Grnts-4Yr'!Z47+'Other Contract Grnts-4Yr'!Z47+'Investment Income-4Yr'!Z47+'All Other E&amp;G-4Yr'!Z47</f>
        <v>1402000.7779999999</v>
      </c>
      <c r="AA47" s="58">
        <f>+'Tuition-4Yr'!AA47+'State Appropriations-4Yr'!AA47+'Local Appropriations-4Yr'!AA47+'Fed Contracts Grnts-4Yr'!AA47+'Other Contract Grnts-4Yr'!AA47+'Investment Income-4Yr'!AA47+'All Other E&amp;G-4Yr'!AA47</f>
        <v>1072089.3489999999</v>
      </c>
      <c r="AB47" s="58">
        <f>+'Tuition-4Yr'!AB47+'State Appropriations-4Yr'!AB47+'Local Appropriations-4Yr'!AB47+'Fed Contracts Grnts-4Yr'!AB47+'Other Contract Grnts-4Yr'!AB47+'Investment Income-4Yr'!AB47+'All Other E&amp;G-4Yr'!AB47</f>
        <v>1596273.6889999998</v>
      </c>
      <c r="AC47" s="58">
        <f>+'Tuition-4Yr'!AC47+'State Appropriations-4Yr'!AC47+'Local Appropriations-4Yr'!AC47+'Fed Contracts Grnts-4Yr'!AC47+'Other Contract Grnts-4Yr'!AC47+'Investment Income-4Yr'!AC47+'All Other E&amp;G-4Yr'!AC47</f>
        <v>1671151</v>
      </c>
      <c r="AD47" s="58">
        <f>+'Tuition-4Yr'!AD47+'State Appropriations-4Yr'!AD47+'Local Appropriations-4Yr'!AD47+'Fed Contracts Grnts-4Yr'!AD47+'Other Contract Grnts-4Yr'!AD47+'Investment Income-4Yr'!AD47+'All Other E&amp;G-4Yr'!AD47</f>
        <v>1629481.2520000001</v>
      </c>
      <c r="AE47" s="58">
        <f>+'Tuition-4Yr'!AE47+'State Appropriations-4Yr'!AE47+'Local Appropriations-4Yr'!AE47+'Fed Contracts Grnts-4Yr'!AE47+'Other Contract Grnts-4Yr'!AE47+'Investment Income-4Yr'!AE47+'All Other E&amp;G-4Yr'!AE47</f>
        <v>1716721.513</v>
      </c>
      <c r="AF47" s="58">
        <f>+'Tuition-4Yr'!AF47+'State Appropriations-4Yr'!AF47+'Local Appropriations-4Yr'!AF47+'Fed Contracts Grnts-4Yr'!AF47+'Other Contract Grnts-4Yr'!AF47+'Investment Income-4Yr'!AF47+'All Other E&amp;G-4Yr'!AF47</f>
        <v>1714874.5689999999</v>
      </c>
      <c r="AG47" s="58">
        <f>+'Tuition-4Yr'!AG47+'State Appropriations-4Yr'!AG47+'Local Appropriations-4Yr'!AG47+'Fed Contracts Grnts-4Yr'!AG47+'Other Contract Grnts-4Yr'!AG47+'Investment Income-4Yr'!AG47+'All Other E&amp;G-4Yr'!AG47</f>
        <v>1981701.1140000001</v>
      </c>
      <c r="AH47" s="58">
        <f>+'Tuition-4Yr'!AH47+'State Appropriations-4Yr'!AH47+'Local Appropriations-4Yr'!AH47+'Fed Contracts Grnts-4Yr'!AH47+'Other Contract Grnts-4Yr'!AH47+'Investment Income-4Yr'!AH47+'All Other E&amp;G-4Yr'!AH47</f>
        <v>1924584.7239999999</v>
      </c>
      <c r="AI47" s="58">
        <f>+'Tuition-4Yr'!AI47+'State Appropriations-4Yr'!AI47+'Local Appropriations-4Yr'!AI47+'Fed Contracts Grnts-4Yr'!AI47+'Other Contract Grnts-4Yr'!AI47+'Investment Income-4Yr'!AI47+'All Other E&amp;G-4Yr'!AI47</f>
        <v>2007187.1569999999</v>
      </c>
      <c r="AJ47" s="58">
        <f>+'Tuition-4Yr'!AJ47+'State Appropriations-4Yr'!AJ47+'Local Appropriations-4Yr'!AJ47+'Fed Contracts Grnts-4Yr'!AJ47+'Other Contract Grnts-4Yr'!AJ47+'Investment Income-4Yr'!AJ47+'All Other E&amp;G-4Yr'!AJ47</f>
        <v>0</v>
      </c>
      <c r="AK47" s="58">
        <f>+'Tuition-4Yr'!AK47+'State Appropriations-4Yr'!AK47+'Local Appropriations-4Yr'!AK47+'Fed Contracts Grnts-4Yr'!AK47+'Other Contract Grnts-4Yr'!AK47+'Investment Income-4Yr'!AK47+'All Other E&amp;G-4Yr'!AK47</f>
        <v>2260855.077</v>
      </c>
    </row>
    <row r="48" spans="1:37" ht="12.75" customHeight="1">
      <c r="A48" s="1" t="s">
        <v>60</v>
      </c>
      <c r="B48" s="58">
        <f>+'Tuition-4Yr'!B48+'State Appropriations-4Yr'!B48+'Local Appropriations-4Yr'!B48+'Fed Contracts Grnts-4Yr'!B48+'Other Contract Grnts-4Yr'!B48+'Investment Income-4Yr'!B48+'All Other E&amp;G-4Yr'!B48</f>
        <v>0</v>
      </c>
      <c r="C48" s="58">
        <f>+'Tuition-4Yr'!C48+'State Appropriations-4Yr'!C48+'Local Appropriations-4Yr'!C48+'Fed Contracts Grnts-4Yr'!C48+'Other Contract Grnts-4Yr'!C48+'Investment Income-4Yr'!C48+'All Other E&amp;G-4Yr'!C48</f>
        <v>0</v>
      </c>
      <c r="D48" s="58">
        <f>+'Tuition-4Yr'!D48+'State Appropriations-4Yr'!D48+'Local Appropriations-4Yr'!D48+'Fed Contracts Grnts-4Yr'!D48+'Other Contract Grnts-4Yr'!D48+'Investment Income-4Yr'!D48+'All Other E&amp;G-4Yr'!D48</f>
        <v>0</v>
      </c>
      <c r="E48" s="58">
        <f>+'Tuition-4Yr'!E48+'State Appropriations-4Yr'!E48+'Local Appropriations-4Yr'!E48+'Fed Contracts Grnts-4Yr'!E48+'Other Contract Grnts-4Yr'!E48+'Investment Income-4Yr'!E48+'All Other E&amp;G-4Yr'!E48</f>
        <v>0</v>
      </c>
      <c r="F48" s="58">
        <f>+'Tuition-4Yr'!F48+'State Appropriations-4Yr'!F48+'Local Appropriations-4Yr'!F48+'Fed Contracts Grnts-4Yr'!F48+'Other Contract Grnts-4Yr'!F48+'Investment Income-4Yr'!F48+'All Other E&amp;G-4Yr'!F48</f>
        <v>0</v>
      </c>
      <c r="G48" s="58">
        <f>+'Tuition-4Yr'!G48+'State Appropriations-4Yr'!G48+'Local Appropriations-4Yr'!G48+'Fed Contracts Grnts-4Yr'!G48+'Other Contract Grnts-4Yr'!G48+'Investment Income-4Yr'!G48+'All Other E&amp;G-4Yr'!G48</f>
        <v>0</v>
      </c>
      <c r="H48" s="58">
        <f>+'Tuition-4Yr'!H48+'State Appropriations-4Yr'!H48+'Local Appropriations-4Yr'!H48+'Fed Contracts Grnts-4Yr'!H48+'Other Contract Grnts-4Yr'!H48+'Investment Income-4Yr'!H48+'All Other E&amp;G-4Yr'!H48</f>
        <v>0</v>
      </c>
      <c r="I48" s="58">
        <f>+'Tuition-4Yr'!I48+'State Appropriations-4Yr'!I48+'Local Appropriations-4Yr'!I48+'Fed Contracts Grnts-4Yr'!I48+'Other Contract Grnts-4Yr'!I48+'Investment Income-4Yr'!I48+'All Other E&amp;G-4Yr'!I48</f>
        <v>0</v>
      </c>
      <c r="J48" s="58">
        <f>+'Tuition-4Yr'!J48+'State Appropriations-4Yr'!J48+'Local Appropriations-4Yr'!J48+'Fed Contracts Grnts-4Yr'!J48+'Other Contract Grnts-4Yr'!J48+'Investment Income-4Yr'!J48+'All Other E&amp;G-4Yr'!J48</f>
        <v>304484.02399999998</v>
      </c>
      <c r="K48" s="58">
        <f>+'Tuition-4Yr'!K48+'State Appropriations-4Yr'!K48+'Local Appropriations-4Yr'!K48+'Fed Contracts Grnts-4Yr'!K48+'Other Contract Grnts-4Yr'!K48+'Investment Income-4Yr'!K48+'All Other E&amp;G-4Yr'!K48</f>
        <v>0</v>
      </c>
      <c r="L48" s="58">
        <f>+'Tuition-4Yr'!L48+'State Appropriations-4Yr'!L48+'Local Appropriations-4Yr'!L48+'Fed Contracts Grnts-4Yr'!L48+'Other Contract Grnts-4Yr'!L48+'Investment Income-4Yr'!L48+'All Other E&amp;G-4Yr'!L48</f>
        <v>0</v>
      </c>
      <c r="M48" s="58">
        <f>+'Tuition-4Yr'!M48+'State Appropriations-4Yr'!M48+'Local Appropriations-4Yr'!M48+'Fed Contracts Grnts-4Yr'!M48+'Other Contract Grnts-4Yr'!M48+'Investment Income-4Yr'!M48+'All Other E&amp;G-4Yr'!M48</f>
        <v>336053.00899999996</v>
      </c>
      <c r="N48" s="58">
        <f>+'Tuition-4Yr'!N48+'State Appropriations-4Yr'!N48+'Local Appropriations-4Yr'!N48+'Fed Contracts Grnts-4Yr'!N48+'Other Contract Grnts-4Yr'!N48+'Investment Income-4Yr'!N48+'All Other E&amp;G-4Yr'!N48</f>
        <v>0</v>
      </c>
      <c r="O48" s="58">
        <f>+'Tuition-4Yr'!O48+'State Appropriations-4Yr'!O48+'Local Appropriations-4Yr'!O48+'Fed Contracts Grnts-4Yr'!O48+'Other Contract Grnts-4Yr'!O48+'Investment Income-4Yr'!O48+'All Other E&amp;G-4Yr'!O48</f>
        <v>352559.39700000006</v>
      </c>
      <c r="P48" s="58">
        <f>+'Tuition-4Yr'!P48+'State Appropriations-4Yr'!P48+'Local Appropriations-4Yr'!P48+'Fed Contracts Grnts-4Yr'!P48+'Other Contract Grnts-4Yr'!P48+'Investment Income-4Yr'!P48+'All Other E&amp;G-4Yr'!P48</f>
        <v>0</v>
      </c>
      <c r="Q48" s="58">
        <f>+'Tuition-4Yr'!Q48+'State Appropriations-4Yr'!Q48+'Local Appropriations-4Yr'!Q48+'Fed Contracts Grnts-4Yr'!Q48+'Other Contract Grnts-4Yr'!Q48+'Investment Income-4Yr'!Q48+'All Other E&amp;G-4Yr'!Q48</f>
        <v>0</v>
      </c>
      <c r="R48" s="58">
        <f>+'Tuition-4Yr'!R48+'State Appropriations-4Yr'!R48+'Local Appropriations-4Yr'!R48+'Fed Contracts Grnts-4Yr'!R48+'Other Contract Grnts-4Yr'!R48+'Investment Income-4Yr'!R48+'All Other E&amp;G-4Yr'!R48</f>
        <v>383573.06800000003</v>
      </c>
      <c r="S48" s="58">
        <f>+'Tuition-4Yr'!S48+'State Appropriations-4Yr'!S48+'Local Appropriations-4Yr'!S48+'Fed Contracts Grnts-4Yr'!S48+'Other Contract Grnts-4Yr'!S48+'Investment Income-4Yr'!S48+'All Other E&amp;G-4Yr'!S48</f>
        <v>430666.01699999999</v>
      </c>
      <c r="T48" s="58">
        <f>+'Tuition-4Yr'!T48+'State Appropriations-4Yr'!T48+'Local Appropriations-4Yr'!T48+'Fed Contracts Grnts-4Yr'!T48+'Other Contract Grnts-4Yr'!T48+'Investment Income-4Yr'!T48+'All Other E&amp;G-4Yr'!T48</f>
        <v>466543.45399999997</v>
      </c>
      <c r="U48" s="58">
        <f>+'Tuition-4Yr'!U48+'State Appropriations-4Yr'!U48+'Local Appropriations-4Yr'!U48+'Fed Contracts Grnts-4Yr'!U48+'Other Contract Grnts-4Yr'!U48+'Investment Income-4Yr'!U48+'All Other E&amp;G-4Yr'!U48</f>
        <v>490827.03499999997</v>
      </c>
      <c r="V48" s="58">
        <f>+'Tuition-4Yr'!V48+'State Appropriations-4Yr'!V48+'Local Appropriations-4Yr'!V48+'Fed Contracts Grnts-4Yr'!V48+'Other Contract Grnts-4Yr'!V48+'Investment Income-4Yr'!V48+'All Other E&amp;G-4Yr'!V48</f>
        <v>538581.46600000001</v>
      </c>
      <c r="W48" s="58">
        <f>+'Tuition-4Yr'!W48+'State Appropriations-4Yr'!W48+'Local Appropriations-4Yr'!W48+'Fed Contracts Grnts-4Yr'!W48+'Other Contract Grnts-4Yr'!W48+'Investment Income-4Yr'!W48+'All Other E&amp;G-4Yr'!W48</f>
        <v>601560.66899999999</v>
      </c>
      <c r="X48" s="58">
        <f>+'Tuition-4Yr'!X48+'State Appropriations-4Yr'!X48+'Local Appropriations-4Yr'!X48+'Fed Contracts Grnts-4Yr'!X48+'Other Contract Grnts-4Yr'!X48+'Investment Income-4Yr'!X48+'All Other E&amp;G-4Yr'!X48</f>
        <v>610472.33100000001</v>
      </c>
      <c r="Y48" s="58">
        <f>+'Tuition-4Yr'!Y48+'State Appropriations-4Yr'!Y48+'Local Appropriations-4Yr'!Y48+'Fed Contracts Grnts-4Yr'!Y48+'Other Contract Grnts-4Yr'!Y48+'Investment Income-4Yr'!Y48+'All Other E&amp;G-4Yr'!Y48</f>
        <v>644111.32200000004</v>
      </c>
      <c r="Z48" s="58">
        <f>+'Tuition-4Yr'!Z48+'State Appropriations-4Yr'!Z48+'Local Appropriations-4Yr'!Z48+'Fed Contracts Grnts-4Yr'!Z48+'Other Contract Grnts-4Yr'!Z48+'Investment Income-4Yr'!Z48+'All Other E&amp;G-4Yr'!Z48</f>
        <v>702566.29000000015</v>
      </c>
      <c r="AA48" s="58">
        <f>+'Tuition-4Yr'!AA48+'State Appropriations-4Yr'!AA48+'Local Appropriations-4Yr'!AA48+'Fed Contracts Grnts-4Yr'!AA48+'Other Contract Grnts-4Yr'!AA48+'Investment Income-4Yr'!AA48+'All Other E&amp;G-4Yr'!AA48</f>
        <v>734322.85400000005</v>
      </c>
      <c r="AB48" s="58">
        <f>+'Tuition-4Yr'!AB48+'State Appropriations-4Yr'!AB48+'Local Appropriations-4Yr'!AB48+'Fed Contracts Grnts-4Yr'!AB48+'Other Contract Grnts-4Yr'!AB48+'Investment Income-4Yr'!AB48+'All Other E&amp;G-4Yr'!AB48</f>
        <v>806231.79700000002</v>
      </c>
      <c r="AC48" s="58">
        <f>+'Tuition-4Yr'!AC48+'State Appropriations-4Yr'!AC48+'Local Appropriations-4Yr'!AC48+'Fed Contracts Grnts-4Yr'!AC48+'Other Contract Grnts-4Yr'!AC48+'Investment Income-4Yr'!AC48+'All Other E&amp;G-4Yr'!AC48</f>
        <v>835364</v>
      </c>
      <c r="AD48" s="58">
        <f>+'Tuition-4Yr'!AD48+'State Appropriations-4Yr'!AD48+'Local Appropriations-4Yr'!AD48+'Fed Contracts Grnts-4Yr'!AD48+'Other Contract Grnts-4Yr'!AD48+'Investment Income-4Yr'!AD48+'All Other E&amp;G-4Yr'!AD48</f>
        <v>852917.74800000002</v>
      </c>
      <c r="AE48" s="58">
        <f>+'Tuition-4Yr'!AE48+'State Appropriations-4Yr'!AE48+'Local Appropriations-4Yr'!AE48+'Fed Contracts Grnts-4Yr'!AE48+'Other Contract Grnts-4Yr'!AE48+'Investment Income-4Yr'!AE48+'All Other E&amp;G-4Yr'!AE48</f>
        <v>886835.71500000008</v>
      </c>
      <c r="AF48" s="58">
        <f>+'Tuition-4Yr'!AF48+'State Appropriations-4Yr'!AF48+'Local Appropriations-4Yr'!AF48+'Fed Contracts Grnts-4Yr'!AF48+'Other Contract Grnts-4Yr'!AF48+'Investment Income-4Yr'!AF48+'All Other E&amp;G-4Yr'!AF48</f>
        <v>839119.24100000004</v>
      </c>
      <c r="AG48" s="58">
        <f>+'Tuition-4Yr'!AG48+'State Appropriations-4Yr'!AG48+'Local Appropriations-4Yr'!AG48+'Fed Contracts Grnts-4Yr'!AG48+'Other Contract Grnts-4Yr'!AG48+'Investment Income-4Yr'!AG48+'All Other E&amp;G-4Yr'!AG48</f>
        <v>934526.72400000005</v>
      </c>
      <c r="AH48" s="58">
        <f>+'Tuition-4Yr'!AH48+'State Appropriations-4Yr'!AH48+'Local Appropriations-4Yr'!AH48+'Fed Contracts Grnts-4Yr'!AH48+'Other Contract Grnts-4Yr'!AH48+'Investment Income-4Yr'!AH48+'All Other E&amp;G-4Yr'!AH48</f>
        <v>961404.57200000016</v>
      </c>
      <c r="AI48" s="58">
        <f>+'Tuition-4Yr'!AI48+'State Appropriations-4Yr'!AI48+'Local Appropriations-4Yr'!AI48+'Fed Contracts Grnts-4Yr'!AI48+'Other Contract Grnts-4Yr'!AI48+'Investment Income-4Yr'!AI48+'All Other E&amp;G-4Yr'!AI48</f>
        <v>962534.51599999995</v>
      </c>
      <c r="AJ48" s="58">
        <f>+'Tuition-4Yr'!AJ48+'State Appropriations-4Yr'!AJ48+'Local Appropriations-4Yr'!AJ48+'Fed Contracts Grnts-4Yr'!AJ48+'Other Contract Grnts-4Yr'!AJ48+'Investment Income-4Yr'!AJ48+'All Other E&amp;G-4Yr'!AJ48</f>
        <v>0</v>
      </c>
      <c r="AK48" s="58">
        <f>+'Tuition-4Yr'!AK48+'State Appropriations-4Yr'!AK48+'Local Appropriations-4Yr'!AK48+'Fed Contracts Grnts-4Yr'!AK48+'Other Contract Grnts-4Yr'!AK48+'Investment Income-4Yr'!AK48+'All Other E&amp;G-4Yr'!AK48</f>
        <v>990403.5689999999</v>
      </c>
    </row>
    <row r="49" spans="1:37" ht="12.75" customHeight="1">
      <c r="A49" s="1" t="s">
        <v>61</v>
      </c>
      <c r="B49" s="58">
        <f>+'Tuition-4Yr'!B49+'State Appropriations-4Yr'!B49+'Local Appropriations-4Yr'!B49+'Fed Contracts Grnts-4Yr'!B49+'Other Contract Grnts-4Yr'!B49+'Investment Income-4Yr'!B49+'All Other E&amp;G-4Yr'!B49</f>
        <v>0</v>
      </c>
      <c r="C49" s="58">
        <f>+'Tuition-4Yr'!C49+'State Appropriations-4Yr'!C49+'Local Appropriations-4Yr'!C49+'Fed Contracts Grnts-4Yr'!C49+'Other Contract Grnts-4Yr'!C49+'Investment Income-4Yr'!C49+'All Other E&amp;G-4Yr'!C49</f>
        <v>0</v>
      </c>
      <c r="D49" s="58">
        <f>+'Tuition-4Yr'!D49+'State Appropriations-4Yr'!D49+'Local Appropriations-4Yr'!D49+'Fed Contracts Grnts-4Yr'!D49+'Other Contract Grnts-4Yr'!D49+'Investment Income-4Yr'!D49+'All Other E&amp;G-4Yr'!D49</f>
        <v>0</v>
      </c>
      <c r="E49" s="58">
        <f>+'Tuition-4Yr'!E49+'State Appropriations-4Yr'!E49+'Local Appropriations-4Yr'!E49+'Fed Contracts Grnts-4Yr'!E49+'Other Contract Grnts-4Yr'!E49+'Investment Income-4Yr'!E49+'All Other E&amp;G-4Yr'!E49</f>
        <v>0</v>
      </c>
      <c r="F49" s="58">
        <f>+'Tuition-4Yr'!F49+'State Appropriations-4Yr'!F49+'Local Appropriations-4Yr'!F49+'Fed Contracts Grnts-4Yr'!F49+'Other Contract Grnts-4Yr'!F49+'Investment Income-4Yr'!F49+'All Other E&amp;G-4Yr'!F49</f>
        <v>0</v>
      </c>
      <c r="G49" s="58">
        <f>+'Tuition-4Yr'!G49+'State Appropriations-4Yr'!G49+'Local Appropriations-4Yr'!G49+'Fed Contracts Grnts-4Yr'!G49+'Other Contract Grnts-4Yr'!G49+'Investment Income-4Yr'!G49+'All Other E&amp;G-4Yr'!G49</f>
        <v>0</v>
      </c>
      <c r="H49" s="58">
        <f>+'Tuition-4Yr'!H49+'State Appropriations-4Yr'!H49+'Local Appropriations-4Yr'!H49+'Fed Contracts Grnts-4Yr'!H49+'Other Contract Grnts-4Yr'!H49+'Investment Income-4Yr'!H49+'All Other E&amp;G-4Yr'!H49</f>
        <v>0</v>
      </c>
      <c r="I49" s="58">
        <f>+'Tuition-4Yr'!I49+'State Appropriations-4Yr'!I49+'Local Appropriations-4Yr'!I49+'Fed Contracts Grnts-4Yr'!I49+'Other Contract Grnts-4Yr'!I49+'Investment Income-4Yr'!I49+'All Other E&amp;G-4Yr'!I49</f>
        <v>0</v>
      </c>
      <c r="J49" s="58">
        <f>+'Tuition-4Yr'!J49+'State Appropriations-4Yr'!J49+'Local Appropriations-4Yr'!J49+'Fed Contracts Grnts-4Yr'!J49+'Other Contract Grnts-4Yr'!J49+'Investment Income-4Yr'!J49+'All Other E&amp;G-4Yr'!J49</f>
        <v>2909685.95</v>
      </c>
      <c r="K49" s="58">
        <f>+'Tuition-4Yr'!K49+'State Appropriations-4Yr'!K49+'Local Appropriations-4Yr'!K49+'Fed Contracts Grnts-4Yr'!K49+'Other Contract Grnts-4Yr'!K49+'Investment Income-4Yr'!K49+'All Other E&amp;G-4Yr'!K49</f>
        <v>0</v>
      </c>
      <c r="L49" s="58">
        <f>+'Tuition-4Yr'!L49+'State Appropriations-4Yr'!L49+'Local Appropriations-4Yr'!L49+'Fed Contracts Grnts-4Yr'!L49+'Other Contract Grnts-4Yr'!L49+'Investment Income-4Yr'!L49+'All Other E&amp;G-4Yr'!L49</f>
        <v>0</v>
      </c>
      <c r="M49" s="58">
        <f>+'Tuition-4Yr'!M49+'State Appropriations-4Yr'!M49+'Local Appropriations-4Yr'!M49+'Fed Contracts Grnts-4Yr'!M49+'Other Contract Grnts-4Yr'!M49+'Investment Income-4Yr'!M49+'All Other E&amp;G-4Yr'!M49</f>
        <v>3186238.8220000002</v>
      </c>
      <c r="N49" s="58">
        <f>+'Tuition-4Yr'!N49+'State Appropriations-4Yr'!N49+'Local Appropriations-4Yr'!N49+'Fed Contracts Grnts-4Yr'!N49+'Other Contract Grnts-4Yr'!N49+'Investment Income-4Yr'!N49+'All Other E&amp;G-4Yr'!N49</f>
        <v>0</v>
      </c>
      <c r="O49" s="58">
        <f>+'Tuition-4Yr'!O49+'State Appropriations-4Yr'!O49+'Local Appropriations-4Yr'!O49+'Fed Contracts Grnts-4Yr'!O49+'Other Contract Grnts-4Yr'!O49+'Investment Income-4Yr'!O49+'All Other E&amp;G-4Yr'!O49</f>
        <v>3496452.1840000004</v>
      </c>
      <c r="P49" s="58">
        <f>+'Tuition-4Yr'!P49+'State Appropriations-4Yr'!P49+'Local Appropriations-4Yr'!P49+'Fed Contracts Grnts-4Yr'!P49+'Other Contract Grnts-4Yr'!P49+'Investment Income-4Yr'!P49+'All Other E&amp;G-4Yr'!P49</f>
        <v>0</v>
      </c>
      <c r="Q49" s="58">
        <f>+'Tuition-4Yr'!Q49+'State Appropriations-4Yr'!Q49+'Local Appropriations-4Yr'!Q49+'Fed Contracts Grnts-4Yr'!Q49+'Other Contract Grnts-4Yr'!Q49+'Investment Income-4Yr'!Q49+'All Other E&amp;G-4Yr'!Q49</f>
        <v>0</v>
      </c>
      <c r="R49" s="58">
        <f>+'Tuition-4Yr'!R49+'State Appropriations-4Yr'!R49+'Local Appropriations-4Yr'!R49+'Fed Contracts Grnts-4Yr'!R49+'Other Contract Grnts-4Yr'!R49+'Investment Income-4Yr'!R49+'All Other E&amp;G-4Yr'!R49</f>
        <v>4057228.1730000004</v>
      </c>
      <c r="S49" s="58">
        <f>+'Tuition-4Yr'!S49+'State Appropriations-4Yr'!S49+'Local Appropriations-4Yr'!S49+'Fed Contracts Grnts-4Yr'!S49+'Other Contract Grnts-4Yr'!S49+'Investment Income-4Yr'!S49+'All Other E&amp;G-4Yr'!S49</f>
        <v>4376762.926</v>
      </c>
      <c r="T49" s="58">
        <f>+'Tuition-4Yr'!T49+'State Appropriations-4Yr'!T49+'Local Appropriations-4Yr'!T49+'Fed Contracts Grnts-4Yr'!T49+'Other Contract Grnts-4Yr'!T49+'Investment Income-4Yr'!T49+'All Other E&amp;G-4Yr'!T49</f>
        <v>4554534.0120000001</v>
      </c>
      <c r="U49" s="58">
        <f>+'Tuition-4Yr'!U49+'State Appropriations-4Yr'!U49+'Local Appropriations-4Yr'!U49+'Fed Contracts Grnts-4Yr'!U49+'Other Contract Grnts-4Yr'!U49+'Investment Income-4Yr'!U49+'All Other E&amp;G-4Yr'!U49</f>
        <v>4752467.9579999996</v>
      </c>
      <c r="V49" s="58">
        <f>+'Tuition-4Yr'!V49+'State Appropriations-4Yr'!V49+'Local Appropriations-4Yr'!V49+'Fed Contracts Grnts-4Yr'!V49+'Other Contract Grnts-4Yr'!V49+'Investment Income-4Yr'!V49+'All Other E&amp;G-4Yr'!V49</f>
        <v>5317411.6119999997</v>
      </c>
      <c r="W49" s="58">
        <f>+'Tuition-4Yr'!W49+'State Appropriations-4Yr'!W49+'Local Appropriations-4Yr'!W49+'Fed Contracts Grnts-4Yr'!W49+'Other Contract Grnts-4Yr'!W49+'Investment Income-4Yr'!W49+'All Other E&amp;G-4Yr'!W49</f>
        <v>5962466.6409999998</v>
      </c>
      <c r="X49" s="58">
        <f>+'Tuition-4Yr'!X49+'State Appropriations-4Yr'!X49+'Local Appropriations-4Yr'!X49+'Fed Contracts Grnts-4Yr'!X49+'Other Contract Grnts-4Yr'!X49+'Investment Income-4Yr'!X49+'All Other E&amp;G-4Yr'!X49</f>
        <v>5808360.1460000006</v>
      </c>
      <c r="Y49" s="58">
        <f>+'Tuition-4Yr'!Y49+'State Appropriations-4Yr'!Y49+'Local Appropriations-4Yr'!Y49+'Fed Contracts Grnts-4Yr'!Y49+'Other Contract Grnts-4Yr'!Y49+'Investment Income-4Yr'!Y49+'All Other E&amp;G-4Yr'!Y49</f>
        <v>6478377.012000001</v>
      </c>
      <c r="Z49" s="58">
        <f>+'Tuition-4Yr'!Z49+'State Appropriations-4Yr'!Z49+'Local Appropriations-4Yr'!Z49+'Fed Contracts Grnts-4Yr'!Z49+'Other Contract Grnts-4Yr'!Z49+'Investment Income-4Yr'!Z49+'All Other E&amp;G-4Yr'!Z49</f>
        <v>5693470.7780000009</v>
      </c>
      <c r="AA49" s="58">
        <f>+'Tuition-4Yr'!AA49+'State Appropriations-4Yr'!AA49+'Local Appropriations-4Yr'!AA49+'Fed Contracts Grnts-4Yr'!AA49+'Other Contract Grnts-4Yr'!AA49+'Investment Income-4Yr'!AA49+'All Other E&amp;G-4Yr'!AA49</f>
        <v>5481817.3820000002</v>
      </c>
      <c r="AB49" s="58">
        <f>+'Tuition-4Yr'!AB49+'State Appropriations-4Yr'!AB49+'Local Appropriations-4Yr'!AB49+'Fed Contracts Grnts-4Yr'!AB49+'Other Contract Grnts-4Yr'!AB49+'Investment Income-4Yr'!AB49+'All Other E&amp;G-4Yr'!AB49</f>
        <v>7373083.2379999999</v>
      </c>
      <c r="AC49" s="58">
        <f>+'Tuition-4Yr'!AC49+'State Appropriations-4Yr'!AC49+'Local Appropriations-4Yr'!AC49+'Fed Contracts Grnts-4Yr'!AC49+'Other Contract Grnts-4Yr'!AC49+'Investment Income-4Yr'!AC49+'All Other E&amp;G-4Yr'!AC49</f>
        <v>8215991</v>
      </c>
      <c r="AD49" s="58">
        <f>+'Tuition-4Yr'!AD49+'State Appropriations-4Yr'!AD49+'Local Appropriations-4Yr'!AD49+'Fed Contracts Grnts-4Yr'!AD49+'Other Contract Grnts-4Yr'!AD49+'Investment Income-4Yr'!AD49+'All Other E&amp;G-4Yr'!AD49</f>
        <v>7209883.3260000004</v>
      </c>
      <c r="AE49" s="58">
        <f>+'Tuition-4Yr'!AE49+'State Appropriations-4Yr'!AE49+'Local Appropriations-4Yr'!AE49+'Fed Contracts Grnts-4Yr'!AE49+'Other Contract Grnts-4Yr'!AE49+'Investment Income-4Yr'!AE49+'All Other E&amp;G-4Yr'!AE49</f>
        <v>7784841.8990000002</v>
      </c>
      <c r="AF49" s="58">
        <f>+'Tuition-4Yr'!AF49+'State Appropriations-4Yr'!AF49+'Local Appropriations-4Yr'!AF49+'Fed Contracts Grnts-4Yr'!AF49+'Other Contract Grnts-4Yr'!AF49+'Investment Income-4Yr'!AF49+'All Other E&amp;G-4Yr'!AF49</f>
        <v>8094396.6239999998</v>
      </c>
      <c r="AG49" s="58">
        <f>+'Tuition-4Yr'!AG49+'State Appropriations-4Yr'!AG49+'Local Appropriations-4Yr'!AG49+'Fed Contracts Grnts-4Yr'!AG49+'Other Contract Grnts-4Yr'!AG49+'Investment Income-4Yr'!AG49+'All Other E&amp;G-4Yr'!AG49</f>
        <v>7638648.4080000008</v>
      </c>
      <c r="AH49" s="58">
        <f>+'Tuition-4Yr'!AH49+'State Appropriations-4Yr'!AH49+'Local Appropriations-4Yr'!AH49+'Fed Contracts Grnts-4Yr'!AH49+'Other Contract Grnts-4Yr'!AH49+'Investment Income-4Yr'!AH49+'All Other E&amp;G-4Yr'!AH49</f>
        <v>7631245.3680000007</v>
      </c>
      <c r="AI49" s="58">
        <f>+'Tuition-4Yr'!AI49+'State Appropriations-4Yr'!AI49+'Local Appropriations-4Yr'!AI49+'Fed Contracts Grnts-4Yr'!AI49+'Other Contract Grnts-4Yr'!AI49+'Investment Income-4Yr'!AI49+'All Other E&amp;G-4Yr'!AI49</f>
        <v>8739606.1530000009</v>
      </c>
      <c r="AJ49" s="58">
        <f>+'Tuition-4Yr'!AJ49+'State Appropriations-4Yr'!AJ49+'Local Appropriations-4Yr'!AJ49+'Fed Contracts Grnts-4Yr'!AJ49+'Other Contract Grnts-4Yr'!AJ49+'Investment Income-4Yr'!AJ49+'All Other E&amp;G-4Yr'!AJ49</f>
        <v>0</v>
      </c>
      <c r="AK49" s="58">
        <f>+'Tuition-4Yr'!AK49+'State Appropriations-4Yr'!AK49+'Local Appropriations-4Yr'!AK49+'Fed Contracts Grnts-4Yr'!AK49+'Other Contract Grnts-4Yr'!AK49+'Investment Income-4Yr'!AK49+'All Other E&amp;G-4Yr'!AK49</f>
        <v>8870262.7759999987</v>
      </c>
    </row>
    <row r="50" spans="1:37" ht="12.75" customHeight="1">
      <c r="A50" s="1" t="s">
        <v>62</v>
      </c>
      <c r="B50" s="58">
        <f>+'Tuition-4Yr'!B50+'State Appropriations-4Yr'!B50+'Local Appropriations-4Yr'!B50+'Fed Contracts Grnts-4Yr'!B50+'Other Contract Grnts-4Yr'!B50+'Investment Income-4Yr'!B50+'All Other E&amp;G-4Yr'!B50</f>
        <v>0</v>
      </c>
      <c r="C50" s="58">
        <f>+'Tuition-4Yr'!C50+'State Appropriations-4Yr'!C50+'Local Appropriations-4Yr'!C50+'Fed Contracts Grnts-4Yr'!C50+'Other Contract Grnts-4Yr'!C50+'Investment Income-4Yr'!C50+'All Other E&amp;G-4Yr'!C50</f>
        <v>0</v>
      </c>
      <c r="D50" s="58">
        <f>+'Tuition-4Yr'!D50+'State Appropriations-4Yr'!D50+'Local Appropriations-4Yr'!D50+'Fed Contracts Grnts-4Yr'!D50+'Other Contract Grnts-4Yr'!D50+'Investment Income-4Yr'!D50+'All Other E&amp;G-4Yr'!D50</f>
        <v>0</v>
      </c>
      <c r="E50" s="58">
        <f>+'Tuition-4Yr'!E50+'State Appropriations-4Yr'!E50+'Local Appropriations-4Yr'!E50+'Fed Contracts Grnts-4Yr'!E50+'Other Contract Grnts-4Yr'!E50+'Investment Income-4Yr'!E50+'All Other E&amp;G-4Yr'!E50</f>
        <v>0</v>
      </c>
      <c r="F50" s="58">
        <f>+'Tuition-4Yr'!F50+'State Appropriations-4Yr'!F50+'Local Appropriations-4Yr'!F50+'Fed Contracts Grnts-4Yr'!F50+'Other Contract Grnts-4Yr'!F50+'Investment Income-4Yr'!F50+'All Other E&amp;G-4Yr'!F50</f>
        <v>0</v>
      </c>
      <c r="G50" s="58">
        <f>+'Tuition-4Yr'!G50+'State Appropriations-4Yr'!G50+'Local Appropriations-4Yr'!G50+'Fed Contracts Grnts-4Yr'!G50+'Other Contract Grnts-4Yr'!G50+'Investment Income-4Yr'!G50+'All Other E&amp;G-4Yr'!G50</f>
        <v>0</v>
      </c>
      <c r="H50" s="58">
        <f>+'Tuition-4Yr'!H50+'State Appropriations-4Yr'!H50+'Local Appropriations-4Yr'!H50+'Fed Contracts Grnts-4Yr'!H50+'Other Contract Grnts-4Yr'!H50+'Investment Income-4Yr'!H50+'All Other E&amp;G-4Yr'!H50</f>
        <v>0</v>
      </c>
      <c r="I50" s="58">
        <f>+'Tuition-4Yr'!I50+'State Appropriations-4Yr'!I50+'Local Appropriations-4Yr'!I50+'Fed Contracts Grnts-4Yr'!I50+'Other Contract Grnts-4Yr'!I50+'Investment Income-4Yr'!I50+'All Other E&amp;G-4Yr'!I50</f>
        <v>0</v>
      </c>
      <c r="J50" s="58">
        <f>+'Tuition-4Yr'!J50+'State Appropriations-4Yr'!J50+'Local Appropriations-4Yr'!J50+'Fed Contracts Grnts-4Yr'!J50+'Other Contract Grnts-4Yr'!J50+'Investment Income-4Yr'!J50+'All Other E&amp;G-4Yr'!J50</f>
        <v>209870.34700000001</v>
      </c>
      <c r="K50" s="58">
        <f>+'Tuition-4Yr'!K50+'State Appropriations-4Yr'!K50+'Local Appropriations-4Yr'!K50+'Fed Contracts Grnts-4Yr'!K50+'Other Contract Grnts-4Yr'!K50+'Investment Income-4Yr'!K50+'All Other E&amp;G-4Yr'!K50</f>
        <v>0</v>
      </c>
      <c r="L50" s="58">
        <f>+'Tuition-4Yr'!L50+'State Appropriations-4Yr'!L50+'Local Appropriations-4Yr'!L50+'Fed Contracts Grnts-4Yr'!L50+'Other Contract Grnts-4Yr'!L50+'Investment Income-4Yr'!L50+'All Other E&amp;G-4Yr'!L50</f>
        <v>0</v>
      </c>
      <c r="M50" s="58">
        <f>+'Tuition-4Yr'!M50+'State Appropriations-4Yr'!M50+'Local Appropriations-4Yr'!M50+'Fed Contracts Grnts-4Yr'!M50+'Other Contract Grnts-4Yr'!M50+'Investment Income-4Yr'!M50+'All Other E&amp;G-4Yr'!M50</f>
        <v>241848.37000000002</v>
      </c>
      <c r="N50" s="58">
        <f>+'Tuition-4Yr'!N50+'State Appropriations-4Yr'!N50+'Local Appropriations-4Yr'!N50+'Fed Contracts Grnts-4Yr'!N50+'Other Contract Grnts-4Yr'!N50+'Investment Income-4Yr'!N50+'All Other E&amp;G-4Yr'!N50</f>
        <v>0</v>
      </c>
      <c r="O50" s="58">
        <f>+'Tuition-4Yr'!O50+'State Appropriations-4Yr'!O50+'Local Appropriations-4Yr'!O50+'Fed Contracts Grnts-4Yr'!O50+'Other Contract Grnts-4Yr'!O50+'Investment Income-4Yr'!O50+'All Other E&amp;G-4Yr'!O50</f>
        <v>249258.31943999999</v>
      </c>
      <c r="P50" s="58">
        <f>+'Tuition-4Yr'!P50+'State Appropriations-4Yr'!P50+'Local Appropriations-4Yr'!P50+'Fed Contracts Grnts-4Yr'!P50+'Other Contract Grnts-4Yr'!P50+'Investment Income-4Yr'!P50+'All Other E&amp;G-4Yr'!P50</f>
        <v>0</v>
      </c>
      <c r="Q50" s="58">
        <f>+'Tuition-4Yr'!Q50+'State Appropriations-4Yr'!Q50+'Local Appropriations-4Yr'!Q50+'Fed Contracts Grnts-4Yr'!Q50+'Other Contract Grnts-4Yr'!Q50+'Investment Income-4Yr'!Q50+'All Other E&amp;G-4Yr'!Q50</f>
        <v>0</v>
      </c>
      <c r="R50" s="58">
        <f>+'Tuition-4Yr'!R50+'State Appropriations-4Yr'!R50+'Local Appropriations-4Yr'!R50+'Fed Contracts Grnts-4Yr'!R50+'Other Contract Grnts-4Yr'!R50+'Investment Income-4Yr'!R50+'All Other E&amp;G-4Yr'!R50</f>
        <v>308354.79800000001</v>
      </c>
      <c r="S50" s="58">
        <f>+'Tuition-4Yr'!S50+'State Appropriations-4Yr'!S50+'Local Appropriations-4Yr'!S50+'Fed Contracts Grnts-4Yr'!S50+'Other Contract Grnts-4Yr'!S50+'Investment Income-4Yr'!S50+'All Other E&amp;G-4Yr'!S50</f>
        <v>323307.39600000001</v>
      </c>
      <c r="T50" s="58">
        <f>+'Tuition-4Yr'!T50+'State Appropriations-4Yr'!T50+'Local Appropriations-4Yr'!T50+'Fed Contracts Grnts-4Yr'!T50+'Other Contract Grnts-4Yr'!T50+'Investment Income-4Yr'!T50+'All Other E&amp;G-4Yr'!T50</f>
        <v>328667.41200000001</v>
      </c>
      <c r="U50" s="58">
        <f>+'Tuition-4Yr'!U50+'State Appropriations-4Yr'!U50+'Local Appropriations-4Yr'!U50+'Fed Contracts Grnts-4Yr'!U50+'Other Contract Grnts-4Yr'!U50+'Investment Income-4Yr'!U50+'All Other E&amp;G-4Yr'!U50</f>
        <v>351695.90699999995</v>
      </c>
      <c r="V50" s="58">
        <f>+'Tuition-4Yr'!V50+'State Appropriations-4Yr'!V50+'Local Appropriations-4Yr'!V50+'Fed Contracts Grnts-4Yr'!V50+'Other Contract Grnts-4Yr'!V50+'Investment Income-4Yr'!V50+'All Other E&amp;G-4Yr'!V50</f>
        <v>374672.47000000003</v>
      </c>
      <c r="W50" s="58">
        <f>+'Tuition-4Yr'!W50+'State Appropriations-4Yr'!W50+'Local Appropriations-4Yr'!W50+'Fed Contracts Grnts-4Yr'!W50+'Other Contract Grnts-4Yr'!W50+'Investment Income-4Yr'!W50+'All Other E&amp;G-4Yr'!W50</f>
        <v>404639.22200000001</v>
      </c>
      <c r="X50" s="58">
        <f>+'Tuition-4Yr'!X50+'State Appropriations-4Yr'!X50+'Local Appropriations-4Yr'!X50+'Fed Contracts Grnts-4Yr'!X50+'Other Contract Grnts-4Yr'!X50+'Investment Income-4Yr'!X50+'All Other E&amp;G-4Yr'!X50</f>
        <v>416534.22299999994</v>
      </c>
      <c r="Y50" s="58">
        <f>+'Tuition-4Yr'!Y50+'State Appropriations-4Yr'!Y50+'Local Appropriations-4Yr'!Y50+'Fed Contracts Grnts-4Yr'!Y50+'Other Contract Grnts-4Yr'!Y50+'Investment Income-4Yr'!Y50+'All Other E&amp;G-4Yr'!Y50</f>
        <v>452142.33299999998</v>
      </c>
      <c r="Z50" s="58">
        <f>+'Tuition-4Yr'!Z50+'State Appropriations-4Yr'!Z50+'Local Appropriations-4Yr'!Z50+'Fed Contracts Grnts-4Yr'!Z50+'Other Contract Grnts-4Yr'!Z50+'Investment Income-4Yr'!Z50+'All Other E&amp;G-4Yr'!Z50</f>
        <v>486148.3980000001</v>
      </c>
      <c r="AA50" s="58">
        <f>+'Tuition-4Yr'!AA50+'State Appropriations-4Yr'!AA50+'Local Appropriations-4Yr'!AA50+'Fed Contracts Grnts-4Yr'!AA50+'Other Contract Grnts-4Yr'!AA50+'Investment Income-4Yr'!AA50+'All Other E&amp;G-4Yr'!AA50</f>
        <v>543617.50899999996</v>
      </c>
      <c r="AB50" s="58">
        <f>+'Tuition-4Yr'!AB50+'State Appropriations-4Yr'!AB50+'Local Appropriations-4Yr'!AB50+'Fed Contracts Grnts-4Yr'!AB50+'Other Contract Grnts-4Yr'!AB50+'Investment Income-4Yr'!AB50+'All Other E&amp;G-4Yr'!AB50</f>
        <v>616644.65399999998</v>
      </c>
      <c r="AC50" s="58">
        <f>+'Tuition-4Yr'!AC50+'State Appropriations-4Yr'!AC50+'Local Appropriations-4Yr'!AC50+'Fed Contracts Grnts-4Yr'!AC50+'Other Contract Grnts-4Yr'!AC50+'Investment Income-4Yr'!AC50+'All Other E&amp;G-4Yr'!AC50</f>
        <v>645713</v>
      </c>
      <c r="AD50" s="58">
        <f>+'Tuition-4Yr'!AD50+'State Appropriations-4Yr'!AD50+'Local Appropriations-4Yr'!AD50+'Fed Contracts Grnts-4Yr'!AD50+'Other Contract Grnts-4Yr'!AD50+'Investment Income-4Yr'!AD50+'All Other E&amp;G-4Yr'!AD50</f>
        <v>655467.32199999993</v>
      </c>
      <c r="AE50" s="58">
        <f>+'Tuition-4Yr'!AE50+'State Appropriations-4Yr'!AE50+'Local Appropriations-4Yr'!AE50+'Fed Contracts Grnts-4Yr'!AE50+'Other Contract Grnts-4Yr'!AE50+'Investment Income-4Yr'!AE50+'All Other E&amp;G-4Yr'!AE50</f>
        <v>4038720.2230000002</v>
      </c>
      <c r="AF50" s="58">
        <f>+'Tuition-4Yr'!AF50+'State Appropriations-4Yr'!AF50+'Local Appropriations-4Yr'!AF50+'Fed Contracts Grnts-4Yr'!AF50+'Other Contract Grnts-4Yr'!AF50+'Investment Income-4Yr'!AF50+'All Other E&amp;G-4Yr'!AF50</f>
        <v>584451.24100000004</v>
      </c>
      <c r="AG50" s="58">
        <f>+'Tuition-4Yr'!AG50+'State Appropriations-4Yr'!AG50+'Local Appropriations-4Yr'!AG50+'Fed Contracts Grnts-4Yr'!AG50+'Other Contract Grnts-4Yr'!AG50+'Investment Income-4Yr'!AG50+'All Other E&amp;G-4Yr'!AG50</f>
        <v>644552.03399999999</v>
      </c>
      <c r="AH50" s="58">
        <f>+'Tuition-4Yr'!AH50+'State Appropriations-4Yr'!AH50+'Local Appropriations-4Yr'!AH50+'Fed Contracts Grnts-4Yr'!AH50+'Other Contract Grnts-4Yr'!AH50+'Investment Income-4Yr'!AH50+'All Other E&amp;G-4Yr'!AH50</f>
        <v>675140.51100000006</v>
      </c>
      <c r="AI50" s="58">
        <f>+'Tuition-4Yr'!AI50+'State Appropriations-4Yr'!AI50+'Local Appropriations-4Yr'!AI50+'Fed Contracts Grnts-4Yr'!AI50+'Other Contract Grnts-4Yr'!AI50+'Investment Income-4Yr'!AI50+'All Other E&amp;G-4Yr'!AI50</f>
        <v>691336.598</v>
      </c>
      <c r="AJ50" s="58">
        <f>+'Tuition-4Yr'!AJ50+'State Appropriations-4Yr'!AJ50+'Local Appropriations-4Yr'!AJ50+'Fed Contracts Grnts-4Yr'!AJ50+'Other Contract Grnts-4Yr'!AJ50+'Investment Income-4Yr'!AJ50+'All Other E&amp;G-4Yr'!AJ50</f>
        <v>0</v>
      </c>
      <c r="AK50" s="58">
        <f>+'Tuition-4Yr'!AK50+'State Appropriations-4Yr'!AK50+'Local Appropriations-4Yr'!AK50+'Fed Contracts Grnts-4Yr'!AK50+'Other Contract Grnts-4Yr'!AK50+'Investment Income-4Yr'!AK50+'All Other E&amp;G-4Yr'!AK50</f>
        <v>742912.32299999997</v>
      </c>
    </row>
    <row r="51" spans="1:37" ht="12.75" customHeight="1">
      <c r="A51" s="30" t="s">
        <v>63</v>
      </c>
      <c r="B51" s="62">
        <f>+'Tuition-4Yr'!B51+'State Appropriations-4Yr'!B51+'Local Appropriations-4Yr'!B51+'Fed Contracts Grnts-4Yr'!B51+'Other Contract Grnts-4Yr'!B51+'Investment Income-4Yr'!B51+'All Other E&amp;G-4Yr'!B51</f>
        <v>0</v>
      </c>
      <c r="C51" s="62">
        <f>+'Tuition-4Yr'!C51+'State Appropriations-4Yr'!C51+'Local Appropriations-4Yr'!C51+'Fed Contracts Grnts-4Yr'!C51+'Other Contract Grnts-4Yr'!C51+'Investment Income-4Yr'!C51+'All Other E&amp;G-4Yr'!C51</f>
        <v>0</v>
      </c>
      <c r="D51" s="62">
        <f>+'Tuition-4Yr'!D51+'State Appropriations-4Yr'!D51+'Local Appropriations-4Yr'!D51+'Fed Contracts Grnts-4Yr'!D51+'Other Contract Grnts-4Yr'!D51+'Investment Income-4Yr'!D51+'All Other E&amp;G-4Yr'!D51</f>
        <v>0</v>
      </c>
      <c r="E51" s="62">
        <f>+'Tuition-4Yr'!E51+'State Appropriations-4Yr'!E51+'Local Appropriations-4Yr'!E51+'Fed Contracts Grnts-4Yr'!E51+'Other Contract Grnts-4Yr'!E51+'Investment Income-4Yr'!E51+'All Other E&amp;G-4Yr'!E51</f>
        <v>0</v>
      </c>
      <c r="F51" s="62">
        <f>+'Tuition-4Yr'!F51+'State Appropriations-4Yr'!F51+'Local Appropriations-4Yr'!F51+'Fed Contracts Grnts-4Yr'!F51+'Other Contract Grnts-4Yr'!F51+'Investment Income-4Yr'!F51+'All Other E&amp;G-4Yr'!F51</f>
        <v>0</v>
      </c>
      <c r="G51" s="62">
        <f>+'Tuition-4Yr'!G51+'State Appropriations-4Yr'!G51+'Local Appropriations-4Yr'!G51+'Fed Contracts Grnts-4Yr'!G51+'Other Contract Grnts-4Yr'!G51+'Investment Income-4Yr'!G51+'All Other E&amp;G-4Yr'!G51</f>
        <v>0</v>
      </c>
      <c r="H51" s="62">
        <f>+'Tuition-4Yr'!H51+'State Appropriations-4Yr'!H51+'Local Appropriations-4Yr'!H51+'Fed Contracts Grnts-4Yr'!H51+'Other Contract Grnts-4Yr'!H51+'Investment Income-4Yr'!H51+'All Other E&amp;G-4Yr'!H51</f>
        <v>0</v>
      </c>
      <c r="I51" s="62">
        <f>+'Tuition-4Yr'!I51+'State Appropriations-4Yr'!I51+'Local Appropriations-4Yr'!I51+'Fed Contracts Grnts-4Yr'!I51+'Other Contract Grnts-4Yr'!I51+'Investment Income-4Yr'!I51+'All Other E&amp;G-4Yr'!I51</f>
        <v>0</v>
      </c>
      <c r="J51" s="62">
        <f>+'Tuition-4Yr'!J51+'State Appropriations-4Yr'!J51+'Local Appropriations-4Yr'!J51+'Fed Contracts Grnts-4Yr'!J51+'Other Contract Grnts-4Yr'!J51+'Investment Income-4Yr'!J51+'All Other E&amp;G-4Yr'!J51</f>
        <v>1762672.335</v>
      </c>
      <c r="K51" s="62">
        <f>+'Tuition-4Yr'!K51+'State Appropriations-4Yr'!K51+'Local Appropriations-4Yr'!K51+'Fed Contracts Grnts-4Yr'!K51+'Other Contract Grnts-4Yr'!K51+'Investment Income-4Yr'!K51+'All Other E&amp;G-4Yr'!K51</f>
        <v>0</v>
      </c>
      <c r="L51" s="62">
        <f>+'Tuition-4Yr'!L51+'State Appropriations-4Yr'!L51+'Local Appropriations-4Yr'!L51+'Fed Contracts Grnts-4Yr'!L51+'Other Contract Grnts-4Yr'!L51+'Investment Income-4Yr'!L51+'All Other E&amp;G-4Yr'!L51</f>
        <v>0</v>
      </c>
      <c r="M51" s="62">
        <f>+'Tuition-4Yr'!M51+'State Appropriations-4Yr'!M51+'Local Appropriations-4Yr'!M51+'Fed Contracts Grnts-4Yr'!M51+'Other Contract Grnts-4Yr'!M51+'Investment Income-4Yr'!M51+'All Other E&amp;G-4Yr'!M51</f>
        <v>1938644.3640000001</v>
      </c>
      <c r="N51" s="62">
        <f>+'Tuition-4Yr'!N51+'State Appropriations-4Yr'!N51+'Local Appropriations-4Yr'!N51+'Fed Contracts Grnts-4Yr'!N51+'Other Contract Grnts-4Yr'!N51+'Investment Income-4Yr'!N51+'All Other E&amp;G-4Yr'!N51</f>
        <v>0</v>
      </c>
      <c r="O51" s="62">
        <f>+'Tuition-4Yr'!O51+'State Appropriations-4Yr'!O51+'Local Appropriations-4Yr'!O51+'Fed Contracts Grnts-4Yr'!O51+'Other Contract Grnts-4Yr'!O51+'Investment Income-4Yr'!O51+'All Other E&amp;G-4Yr'!O51</f>
        <v>2056052.1009999998</v>
      </c>
      <c r="P51" s="62">
        <f>+'Tuition-4Yr'!P51+'State Appropriations-4Yr'!P51+'Local Appropriations-4Yr'!P51+'Fed Contracts Grnts-4Yr'!P51+'Other Contract Grnts-4Yr'!P51+'Investment Income-4Yr'!P51+'All Other E&amp;G-4Yr'!P51</f>
        <v>0</v>
      </c>
      <c r="Q51" s="62">
        <f>+'Tuition-4Yr'!Q51+'State Appropriations-4Yr'!Q51+'Local Appropriations-4Yr'!Q51+'Fed Contracts Grnts-4Yr'!Q51+'Other Contract Grnts-4Yr'!Q51+'Investment Income-4Yr'!Q51+'All Other E&amp;G-4Yr'!Q51</f>
        <v>0</v>
      </c>
      <c r="R51" s="62">
        <f>+'Tuition-4Yr'!R51+'State Appropriations-4Yr'!R51+'Local Appropriations-4Yr'!R51+'Fed Contracts Grnts-4Yr'!R51+'Other Contract Grnts-4Yr'!R51+'Investment Income-4Yr'!R51+'All Other E&amp;G-4Yr'!R51</f>
        <v>2494094.378</v>
      </c>
      <c r="S51" s="62">
        <f>+'Tuition-4Yr'!S51+'State Appropriations-4Yr'!S51+'Local Appropriations-4Yr'!S51+'Fed Contracts Grnts-4Yr'!S51+'Other Contract Grnts-4Yr'!S51+'Investment Income-4Yr'!S51+'All Other E&amp;G-4Yr'!S51</f>
        <v>2703355.6529999999</v>
      </c>
      <c r="T51" s="62">
        <f>+'Tuition-4Yr'!T51+'State Appropriations-4Yr'!T51+'Local Appropriations-4Yr'!T51+'Fed Contracts Grnts-4Yr'!T51+'Other Contract Grnts-4Yr'!T51+'Investment Income-4Yr'!T51+'All Other E&amp;G-4Yr'!T51</f>
        <v>2475052.4950000001</v>
      </c>
      <c r="U51" s="62">
        <f>+'Tuition-4Yr'!U51+'State Appropriations-4Yr'!U51+'Local Appropriations-4Yr'!U51+'Fed Contracts Grnts-4Yr'!U51+'Other Contract Grnts-4Yr'!U51+'Investment Income-4Yr'!U51+'All Other E&amp;G-4Yr'!U51</f>
        <v>2723995.875</v>
      </c>
      <c r="V51" s="62">
        <f>+'Tuition-4Yr'!V51+'State Appropriations-4Yr'!V51+'Local Appropriations-4Yr'!V51+'Fed Contracts Grnts-4Yr'!V51+'Other Contract Grnts-4Yr'!V51+'Investment Income-4Yr'!V51+'All Other E&amp;G-4Yr'!V51</f>
        <v>2795831.5460000001</v>
      </c>
      <c r="W51" s="62">
        <f>+'Tuition-4Yr'!W51+'State Appropriations-4Yr'!W51+'Local Appropriations-4Yr'!W51+'Fed Contracts Grnts-4Yr'!W51+'Other Contract Grnts-4Yr'!W51+'Investment Income-4Yr'!W51+'All Other E&amp;G-4Yr'!W51</f>
        <v>3040391.531</v>
      </c>
      <c r="X51" s="62">
        <f>+'Tuition-4Yr'!X51+'State Appropriations-4Yr'!X51+'Local Appropriations-4Yr'!X51+'Fed Contracts Grnts-4Yr'!X51+'Other Contract Grnts-4Yr'!X51+'Investment Income-4Yr'!X51+'All Other E&amp;G-4Yr'!X51</f>
        <v>3073646.9960000003</v>
      </c>
      <c r="Y51" s="62">
        <f>+'Tuition-4Yr'!Y51+'State Appropriations-4Yr'!Y51+'Local Appropriations-4Yr'!Y51+'Fed Contracts Grnts-4Yr'!Y51+'Other Contract Grnts-4Yr'!Y51+'Investment Income-4Yr'!Y51+'All Other E&amp;G-4Yr'!Y51</f>
        <v>3342006.2339999997</v>
      </c>
      <c r="Z51" s="62">
        <f>+'Tuition-4Yr'!Z51+'State Appropriations-4Yr'!Z51+'Local Appropriations-4Yr'!Z51+'Fed Contracts Grnts-4Yr'!Z51+'Other Contract Grnts-4Yr'!Z51+'Investment Income-4Yr'!Z51+'All Other E&amp;G-4Yr'!Z51</f>
        <v>3435469.4460000005</v>
      </c>
      <c r="AA51" s="62">
        <f>+'Tuition-4Yr'!AA51+'State Appropriations-4Yr'!AA51+'Local Appropriations-4Yr'!AA51+'Fed Contracts Grnts-4Yr'!AA51+'Other Contract Grnts-4Yr'!AA51+'Investment Income-4Yr'!AA51+'All Other E&amp;G-4Yr'!AA51</f>
        <v>3824872.523</v>
      </c>
      <c r="AB51" s="62">
        <f>+'Tuition-4Yr'!AB51+'State Appropriations-4Yr'!AB51+'Local Appropriations-4Yr'!AB51+'Fed Contracts Grnts-4Yr'!AB51+'Other Contract Grnts-4Yr'!AB51+'Investment Income-4Yr'!AB51+'All Other E&amp;G-4Yr'!AB51</f>
        <v>3838064.727</v>
      </c>
      <c r="AC51" s="62">
        <f>+'Tuition-4Yr'!AC51+'State Appropriations-4Yr'!AC51+'Local Appropriations-4Yr'!AC51+'Fed Contracts Grnts-4Yr'!AC51+'Other Contract Grnts-4Yr'!AC51+'Investment Income-4Yr'!AC51+'All Other E&amp;G-4Yr'!AC51</f>
        <v>4114078</v>
      </c>
      <c r="AD51" s="62">
        <f>+'Tuition-4Yr'!AD51+'State Appropriations-4Yr'!AD51+'Local Appropriations-4Yr'!AD51+'Fed Contracts Grnts-4Yr'!AD51+'Other Contract Grnts-4Yr'!AD51+'Investment Income-4Yr'!AD51+'All Other E&amp;G-4Yr'!AD51</f>
        <v>4028253.0219999999</v>
      </c>
      <c r="AE51" s="62">
        <f>+'Tuition-4Yr'!AE51+'State Appropriations-4Yr'!AE51+'Local Appropriations-4Yr'!AE51+'Fed Contracts Grnts-4Yr'!AE51+'Other Contract Grnts-4Yr'!AE51+'Investment Income-4Yr'!AE51+'All Other E&amp;G-4Yr'!AE51</f>
        <v>6666369.2650000006</v>
      </c>
      <c r="AF51" s="62">
        <f>+'Tuition-4Yr'!AF51+'State Appropriations-4Yr'!AF51+'Local Appropriations-4Yr'!AF51+'Fed Contracts Grnts-4Yr'!AF51+'Other Contract Grnts-4Yr'!AF51+'Investment Income-4Yr'!AF51+'All Other E&amp;G-4Yr'!AF51</f>
        <v>3981654.699</v>
      </c>
      <c r="AG51" s="62">
        <f>+'Tuition-4Yr'!AG51+'State Appropriations-4Yr'!AG51+'Local Appropriations-4Yr'!AG51+'Fed Contracts Grnts-4Yr'!AG51+'Other Contract Grnts-4Yr'!AG51+'Investment Income-4Yr'!AG51+'All Other E&amp;G-4Yr'!AG51</f>
        <v>4242475.977</v>
      </c>
      <c r="AH51" s="62">
        <f>+'Tuition-4Yr'!AH51+'State Appropriations-4Yr'!AH51+'Local Appropriations-4Yr'!AH51+'Fed Contracts Grnts-4Yr'!AH51+'Other Contract Grnts-4Yr'!AH51+'Investment Income-4Yr'!AH51+'All Other E&amp;G-4Yr'!AH51</f>
        <v>4335960.7539999997</v>
      </c>
      <c r="AI51" s="62">
        <f>+'Tuition-4Yr'!AI51+'State Appropriations-4Yr'!AI51+'Local Appropriations-4Yr'!AI51+'Fed Contracts Grnts-4Yr'!AI51+'Other Contract Grnts-4Yr'!AI51+'Investment Income-4Yr'!AI51+'All Other E&amp;G-4Yr'!AI51</f>
        <v>4448411.9289999995</v>
      </c>
      <c r="AJ51" s="62">
        <f>+'Tuition-4Yr'!AJ51+'State Appropriations-4Yr'!AJ51+'Local Appropriations-4Yr'!AJ51+'Fed Contracts Grnts-4Yr'!AJ51+'Other Contract Grnts-4Yr'!AJ51+'Investment Income-4Yr'!AJ51+'All Other E&amp;G-4Yr'!AJ51</f>
        <v>0</v>
      </c>
      <c r="AK51" s="62">
        <f>+'Tuition-4Yr'!AK51+'State Appropriations-4Yr'!AK51+'Local Appropriations-4Yr'!AK51+'Fed Contracts Grnts-4Yr'!AK51+'Other Contract Grnts-4Yr'!AK51+'Investment Income-4Yr'!AK51+'All Other E&amp;G-4Yr'!AK51</f>
        <v>5037466.1060000006</v>
      </c>
    </row>
    <row r="52" spans="1:37" ht="12.75" customHeight="1">
      <c r="A52" s="6" t="s">
        <v>64</v>
      </c>
      <c r="B52" s="58">
        <f>+'Tuition-4Yr'!B52+'State Appropriations-4Yr'!B52+'Local Appropriations-4Yr'!B52+'Fed Contracts Grnts-4Yr'!B52+'Other Contract Grnts-4Yr'!B52+'Investment Income-4Yr'!B52+'All Other E&amp;G-4Yr'!B52</f>
        <v>0</v>
      </c>
      <c r="C52" s="58">
        <f>+'Tuition-4Yr'!C52+'State Appropriations-4Yr'!C52+'Local Appropriations-4Yr'!C52+'Fed Contracts Grnts-4Yr'!C52+'Other Contract Grnts-4Yr'!C52+'Investment Income-4Yr'!C52+'All Other E&amp;G-4Yr'!C52</f>
        <v>0</v>
      </c>
      <c r="D52" s="58">
        <f>+'Tuition-4Yr'!D52+'State Appropriations-4Yr'!D52+'Local Appropriations-4Yr'!D52+'Fed Contracts Grnts-4Yr'!D52+'Other Contract Grnts-4Yr'!D52+'Investment Income-4Yr'!D52+'All Other E&amp;G-4Yr'!D52</f>
        <v>0</v>
      </c>
      <c r="E52" s="58">
        <f>+'Tuition-4Yr'!E52+'State Appropriations-4Yr'!E52+'Local Appropriations-4Yr'!E52+'Fed Contracts Grnts-4Yr'!E52+'Other Contract Grnts-4Yr'!E52+'Investment Income-4Yr'!E52+'All Other E&amp;G-4Yr'!E52</f>
        <v>0</v>
      </c>
      <c r="F52" s="58">
        <f>+'Tuition-4Yr'!F52+'State Appropriations-4Yr'!F52+'Local Appropriations-4Yr'!F52+'Fed Contracts Grnts-4Yr'!F52+'Other Contract Grnts-4Yr'!F52+'Investment Income-4Yr'!F52+'All Other E&amp;G-4Yr'!F52</f>
        <v>0</v>
      </c>
      <c r="G52" s="58">
        <f>+'Tuition-4Yr'!G52+'State Appropriations-4Yr'!G52+'Local Appropriations-4Yr'!G52+'Fed Contracts Grnts-4Yr'!G52+'Other Contract Grnts-4Yr'!G52+'Investment Income-4Yr'!G52+'All Other E&amp;G-4Yr'!G52</f>
        <v>0</v>
      </c>
      <c r="H52" s="58">
        <f>+'Tuition-4Yr'!H52+'State Appropriations-4Yr'!H52+'Local Appropriations-4Yr'!H52+'Fed Contracts Grnts-4Yr'!H52+'Other Contract Grnts-4Yr'!H52+'Investment Income-4Yr'!H52+'All Other E&amp;G-4Yr'!H52</f>
        <v>0</v>
      </c>
      <c r="I52" s="58">
        <f>+'Tuition-4Yr'!I52+'State Appropriations-4Yr'!I52+'Local Appropriations-4Yr'!I52+'Fed Contracts Grnts-4Yr'!I52+'Other Contract Grnts-4Yr'!I52+'Investment Income-4Yr'!I52+'All Other E&amp;G-4Yr'!I52</f>
        <v>0</v>
      </c>
      <c r="J52" s="58">
        <f>+'Tuition-4Yr'!J52+'State Appropriations-4Yr'!J52+'Local Appropriations-4Yr'!J52+'Fed Contracts Grnts-4Yr'!J52+'Other Contract Grnts-4Yr'!J52+'Investment Income-4Yr'!J52+'All Other E&amp;G-4Yr'!J52</f>
        <v>9705250.9129999988</v>
      </c>
      <c r="K52" s="58">
        <f>+'Tuition-4Yr'!K52+'State Appropriations-4Yr'!K52+'Local Appropriations-4Yr'!K52+'Fed Contracts Grnts-4Yr'!K52+'Other Contract Grnts-4Yr'!K52+'Investment Income-4Yr'!K52+'All Other E&amp;G-4Yr'!K52</f>
        <v>0</v>
      </c>
      <c r="L52" s="58">
        <f>+'Tuition-4Yr'!L52+'State Appropriations-4Yr'!L52+'Local Appropriations-4Yr'!L52+'Fed Contracts Grnts-4Yr'!L52+'Other Contract Grnts-4Yr'!L52+'Investment Income-4Yr'!L52+'All Other E&amp;G-4Yr'!L52</f>
        <v>0</v>
      </c>
      <c r="M52" s="58">
        <f>+'Tuition-4Yr'!M52+'State Appropriations-4Yr'!M52+'Local Appropriations-4Yr'!M52+'Fed Contracts Grnts-4Yr'!M52+'Other Contract Grnts-4Yr'!M52+'Investment Income-4Yr'!M52+'All Other E&amp;G-4Yr'!M52</f>
        <v>11321882.934</v>
      </c>
      <c r="N52" s="58">
        <f>+'Tuition-4Yr'!N52+'State Appropriations-4Yr'!N52+'Local Appropriations-4Yr'!N52+'Fed Contracts Grnts-4Yr'!N52+'Other Contract Grnts-4Yr'!N52+'Investment Income-4Yr'!N52+'All Other E&amp;G-4Yr'!N52</f>
        <v>0</v>
      </c>
      <c r="O52" s="58">
        <f>+'Tuition-4Yr'!O52+'State Appropriations-4Yr'!O52+'Local Appropriations-4Yr'!O52+'Fed Contracts Grnts-4Yr'!O52+'Other Contract Grnts-4Yr'!O52+'Investment Income-4Yr'!O52+'All Other E&amp;G-4Yr'!O52</f>
        <v>13307676.162</v>
      </c>
      <c r="P52" s="58">
        <f>+'Tuition-4Yr'!P52+'State Appropriations-4Yr'!P52+'Local Appropriations-4Yr'!P52+'Fed Contracts Grnts-4Yr'!P52+'Other Contract Grnts-4Yr'!P52+'Investment Income-4Yr'!P52+'All Other E&amp;G-4Yr'!P52</f>
        <v>0</v>
      </c>
      <c r="Q52" s="58">
        <f>+'Tuition-4Yr'!Q52+'State Appropriations-4Yr'!Q52+'Local Appropriations-4Yr'!Q52+'Fed Contracts Grnts-4Yr'!Q52+'Other Contract Grnts-4Yr'!Q52+'Investment Income-4Yr'!Q52+'All Other E&amp;G-4Yr'!Q52</f>
        <v>0</v>
      </c>
      <c r="R52" s="58">
        <f>+'Tuition-4Yr'!R52+'State Appropriations-4Yr'!R52+'Local Appropriations-4Yr'!R52+'Fed Contracts Grnts-4Yr'!R52+'Other Contract Grnts-4Yr'!R52+'Investment Income-4Yr'!R52+'All Other E&amp;G-4Yr'!R52</f>
        <v>14240240.776999999</v>
      </c>
      <c r="S52" s="58">
        <f>+'Tuition-4Yr'!S52+'State Appropriations-4Yr'!S52+'Local Appropriations-4Yr'!S52+'Fed Contracts Grnts-4Yr'!S52+'Other Contract Grnts-4Yr'!S52+'Investment Income-4Yr'!S52+'All Other E&amp;G-4Yr'!S52</f>
        <v>14650329.453000003</v>
      </c>
      <c r="T52" s="58">
        <f>+'Tuition-4Yr'!T52+'State Appropriations-4Yr'!T52+'Local Appropriations-4Yr'!T52+'Fed Contracts Grnts-4Yr'!T52+'Other Contract Grnts-4Yr'!T52+'Investment Income-4Yr'!T52+'All Other E&amp;G-4Yr'!T52</f>
        <v>14642848.334000001</v>
      </c>
      <c r="U52" s="58">
        <f>+'Tuition-4Yr'!U52+'State Appropriations-4Yr'!U52+'Local Appropriations-4Yr'!U52+'Fed Contracts Grnts-4Yr'!U52+'Other Contract Grnts-4Yr'!U52+'Investment Income-4Yr'!U52+'All Other E&amp;G-4Yr'!U52</f>
        <v>12494756.952</v>
      </c>
      <c r="V52" s="58">
        <f>+'Tuition-4Yr'!V52+'State Appropriations-4Yr'!V52+'Local Appropriations-4Yr'!V52+'Fed Contracts Grnts-4Yr'!V52+'Other Contract Grnts-4Yr'!V52+'Investment Income-4Yr'!V52+'All Other E&amp;G-4Yr'!V52</f>
        <v>13668502.439999999</v>
      </c>
      <c r="W52" s="58">
        <f>+'Tuition-4Yr'!W52+'State Appropriations-4Yr'!W52+'Local Appropriations-4Yr'!W52+'Fed Contracts Grnts-4Yr'!W52+'Other Contract Grnts-4Yr'!W52+'Investment Income-4Yr'!W52+'All Other E&amp;G-4Yr'!W52</f>
        <v>17805317.537</v>
      </c>
      <c r="X52" s="58">
        <f>+'Tuition-4Yr'!X52+'State Appropriations-4Yr'!X52+'Local Appropriations-4Yr'!X52+'Fed Contracts Grnts-4Yr'!X52+'Other Contract Grnts-4Yr'!X52+'Investment Income-4Yr'!X52+'All Other E&amp;G-4Yr'!X52</f>
        <v>16817908.184999999</v>
      </c>
      <c r="Y52" s="58">
        <f>+'Tuition-4Yr'!Y52+'State Appropriations-4Yr'!Y52+'Local Appropriations-4Yr'!Y52+'Fed Contracts Grnts-4Yr'!Y52+'Other Contract Grnts-4Yr'!Y52+'Investment Income-4Yr'!Y52+'All Other E&amp;G-4Yr'!Y52</f>
        <v>18084785.962000001</v>
      </c>
      <c r="Z52" s="58">
        <f>+'Tuition-4Yr'!Z52+'State Appropriations-4Yr'!Z52+'Local Appropriations-4Yr'!Z52+'Fed Contracts Grnts-4Yr'!Z52+'Other Contract Grnts-4Yr'!Z52+'Investment Income-4Yr'!Z52+'All Other E&amp;G-4Yr'!Z52</f>
        <v>18602022.460999999</v>
      </c>
      <c r="AA52" s="58">
        <f>+'Tuition-4Yr'!AA52+'State Appropriations-4Yr'!AA52+'Local Appropriations-4Yr'!AA52+'Fed Contracts Grnts-4Yr'!AA52+'Other Contract Grnts-4Yr'!AA52+'Investment Income-4Yr'!AA52+'All Other E&amp;G-4Yr'!AA52</f>
        <v>17954342.177000001</v>
      </c>
      <c r="AB52" s="58">
        <f>+'Tuition-4Yr'!AB52+'State Appropriations-4Yr'!AB52+'Local Appropriations-4Yr'!AB52+'Fed Contracts Grnts-4Yr'!AB52+'Other Contract Grnts-4Yr'!AB52+'Investment Income-4Yr'!AB52+'All Other E&amp;G-4Yr'!AB52</f>
        <v>22159084.484000001</v>
      </c>
      <c r="AC52" s="58">
        <f>+'Tuition-4Yr'!AC52+'State Appropriations-4Yr'!AC52+'Local Appropriations-4Yr'!AC52+'Fed Contracts Grnts-4Yr'!AC52+'Other Contract Grnts-4Yr'!AC52+'Investment Income-4Yr'!AC52+'All Other E&amp;G-4Yr'!AC52</f>
        <v>23210797</v>
      </c>
      <c r="AD52" s="58">
        <f>+'Tuition-4Yr'!AD52+'State Appropriations-4Yr'!AD52+'Local Appropriations-4Yr'!AD52+'Fed Contracts Grnts-4Yr'!AD52+'Other Contract Grnts-4Yr'!AD52+'Investment Income-4Yr'!AD52+'All Other E&amp;G-4Yr'!AD52</f>
        <v>23057259.561999999</v>
      </c>
      <c r="AE52" s="58">
        <f>+'Tuition-4Yr'!AE52+'State Appropriations-4Yr'!AE52+'Local Appropriations-4Yr'!AE52+'Fed Contracts Grnts-4Yr'!AE52+'Other Contract Grnts-4Yr'!AE52+'Investment Income-4Yr'!AE52+'All Other E&amp;G-4Yr'!AE52</f>
        <v>22139948.271000002</v>
      </c>
      <c r="AF52" s="58">
        <f>+'Tuition-4Yr'!AF52+'State Appropriations-4Yr'!AF52+'Local Appropriations-4Yr'!AF52+'Fed Contracts Grnts-4Yr'!AF52+'Other Contract Grnts-4Yr'!AF52+'Investment Income-4Yr'!AF52+'All Other E&amp;G-4Yr'!AF52</f>
        <v>24105319.832000002</v>
      </c>
      <c r="AG52" s="58">
        <f>+'Tuition-4Yr'!AG52+'State Appropriations-4Yr'!AG52+'Local Appropriations-4Yr'!AG52+'Fed Contracts Grnts-4Yr'!AG52+'Other Contract Grnts-4Yr'!AG52+'Investment Income-4Yr'!AG52+'All Other E&amp;G-4Yr'!AG52</f>
        <v>24742099.606000002</v>
      </c>
      <c r="AH52" s="58">
        <f>+'Tuition-4Yr'!AH52+'State Appropriations-4Yr'!AH52+'Local Appropriations-4Yr'!AH52+'Fed Contracts Grnts-4Yr'!AH52+'Other Contract Grnts-4Yr'!AH52+'Investment Income-4Yr'!AH52+'All Other E&amp;G-4Yr'!AH52</f>
        <v>26795400.907000002</v>
      </c>
      <c r="AI52" s="58">
        <f>+'Tuition-4Yr'!AI52+'State Appropriations-4Yr'!AI52+'Local Appropriations-4Yr'!AI52+'Fed Contracts Grnts-4Yr'!AI52+'Other Contract Grnts-4Yr'!AI52+'Investment Income-4Yr'!AI52+'All Other E&amp;G-4Yr'!AI52</f>
        <v>27620486.649000004</v>
      </c>
      <c r="AJ52" s="58">
        <f>+'Tuition-4Yr'!AJ52+'State Appropriations-4Yr'!AJ52+'Local Appropriations-4Yr'!AJ52+'Fed Contracts Grnts-4Yr'!AJ52+'Other Contract Grnts-4Yr'!AJ52+'Investment Income-4Yr'!AJ52+'All Other E&amp;G-4Yr'!AJ52</f>
        <v>0</v>
      </c>
      <c r="AK52" s="58">
        <f>+'Tuition-4Yr'!AK52+'State Appropriations-4Yr'!AK52+'Local Appropriations-4Yr'!AK52+'Fed Contracts Grnts-4Yr'!AK52+'Other Contract Grnts-4Yr'!AK52+'Investment Income-4Yr'!AK52+'All Other E&amp;G-4Yr'!AK52</f>
        <v>31366547.409000002</v>
      </c>
    </row>
    <row r="53" spans="1:37" ht="12.75" customHeight="1">
      <c r="A53" s="6" t="s">
        <v>94</v>
      </c>
      <c r="B53" s="58">
        <f>+'Tuition-4Yr'!B53+'State Appropriations-4Yr'!B53+'Local Appropriations-4Yr'!B53+'Fed Contracts Grnts-4Yr'!B53+'Other Contract Grnts-4Yr'!B53+'Investment Income-4Yr'!B53+'All Other E&amp;G-4Yr'!B53</f>
        <v>0</v>
      </c>
      <c r="C53" s="58">
        <f>+'Tuition-4Yr'!C53+'State Appropriations-4Yr'!C53+'Local Appropriations-4Yr'!C53+'Fed Contracts Grnts-4Yr'!C53+'Other Contract Grnts-4Yr'!C53+'Investment Income-4Yr'!C53+'All Other E&amp;G-4Yr'!C53</f>
        <v>0</v>
      </c>
      <c r="D53" s="58">
        <f>+'Tuition-4Yr'!D53+'State Appropriations-4Yr'!D53+'Local Appropriations-4Yr'!D53+'Fed Contracts Grnts-4Yr'!D53+'Other Contract Grnts-4Yr'!D53+'Investment Income-4Yr'!D53+'All Other E&amp;G-4Yr'!D53</f>
        <v>0</v>
      </c>
      <c r="E53" s="58">
        <f>+'Tuition-4Yr'!E53+'State Appropriations-4Yr'!E53+'Local Appropriations-4Yr'!E53+'Fed Contracts Grnts-4Yr'!E53+'Other Contract Grnts-4Yr'!E53+'Investment Income-4Yr'!E53+'All Other E&amp;G-4Yr'!E53</f>
        <v>0</v>
      </c>
      <c r="F53" s="58">
        <f>+'Tuition-4Yr'!F53+'State Appropriations-4Yr'!F53+'Local Appropriations-4Yr'!F53+'Fed Contracts Grnts-4Yr'!F53+'Other Contract Grnts-4Yr'!F53+'Investment Income-4Yr'!F53+'All Other E&amp;G-4Yr'!F53</f>
        <v>0</v>
      </c>
      <c r="G53" s="58">
        <f>+'Tuition-4Yr'!G53+'State Appropriations-4Yr'!G53+'Local Appropriations-4Yr'!G53+'Fed Contracts Grnts-4Yr'!G53+'Other Contract Grnts-4Yr'!G53+'Investment Income-4Yr'!G53+'All Other E&amp;G-4Yr'!G53</f>
        <v>0</v>
      </c>
      <c r="H53" s="58">
        <f>+'Tuition-4Yr'!H53+'State Appropriations-4Yr'!H53+'Local Appropriations-4Yr'!H53+'Fed Contracts Grnts-4Yr'!H53+'Other Contract Grnts-4Yr'!H53+'Investment Income-4Yr'!H53+'All Other E&amp;G-4Yr'!H53</f>
        <v>0</v>
      </c>
      <c r="I53" s="58">
        <f>+'Tuition-4Yr'!I53+'State Appropriations-4Yr'!I53+'Local Appropriations-4Yr'!I53+'Fed Contracts Grnts-4Yr'!I53+'Other Contract Grnts-4Yr'!I53+'Investment Income-4Yr'!I53+'All Other E&amp;G-4Yr'!I53</f>
        <v>0</v>
      </c>
      <c r="J53" s="58">
        <f>+'Tuition-4Yr'!J53+'State Appropriations-4Yr'!J53+'Local Appropriations-4Yr'!J53+'Fed Contracts Grnts-4Yr'!J53+'Other Contract Grnts-4Yr'!J53+'Investment Income-4Yr'!J53+'All Other E&amp;G-4Yr'!J53</f>
        <v>0</v>
      </c>
      <c r="K53" s="58">
        <f>+'Tuition-4Yr'!K53+'State Appropriations-4Yr'!K53+'Local Appropriations-4Yr'!K53+'Fed Contracts Grnts-4Yr'!K53+'Other Contract Grnts-4Yr'!K53+'Investment Income-4Yr'!K53+'All Other E&amp;G-4Yr'!K53</f>
        <v>0</v>
      </c>
      <c r="L53" s="58">
        <f>+'Tuition-4Yr'!L53+'State Appropriations-4Yr'!L53+'Local Appropriations-4Yr'!L53+'Fed Contracts Grnts-4Yr'!L53+'Other Contract Grnts-4Yr'!L53+'Investment Income-4Yr'!L53+'All Other E&amp;G-4Yr'!L53</f>
        <v>0</v>
      </c>
      <c r="M53" s="58">
        <f>+'Tuition-4Yr'!M53+'State Appropriations-4Yr'!M53+'Local Appropriations-4Yr'!M53+'Fed Contracts Grnts-4Yr'!M53+'Other Contract Grnts-4Yr'!M53+'Investment Income-4Yr'!M53+'All Other E&amp;G-4Yr'!M53</f>
        <v>0</v>
      </c>
      <c r="N53" s="58">
        <f>+'Tuition-4Yr'!N53+'State Appropriations-4Yr'!N53+'Local Appropriations-4Yr'!N53+'Fed Contracts Grnts-4Yr'!N53+'Other Contract Grnts-4Yr'!N53+'Investment Income-4Yr'!N53+'All Other E&amp;G-4Yr'!N53</f>
        <v>0</v>
      </c>
      <c r="O53" s="58">
        <f>+'Tuition-4Yr'!O53+'State Appropriations-4Yr'!O53+'Local Appropriations-4Yr'!O53+'Fed Contracts Grnts-4Yr'!O53+'Other Contract Grnts-4Yr'!O53+'Investment Income-4Yr'!O53+'All Other E&amp;G-4Yr'!O53</f>
        <v>0</v>
      </c>
      <c r="P53" s="58">
        <f>+'Tuition-4Yr'!P53+'State Appropriations-4Yr'!P53+'Local Appropriations-4Yr'!P53+'Fed Contracts Grnts-4Yr'!P53+'Other Contract Grnts-4Yr'!P53+'Investment Income-4Yr'!P53+'All Other E&amp;G-4Yr'!P53</f>
        <v>0</v>
      </c>
      <c r="Q53" s="58">
        <f>+'Tuition-4Yr'!Q53+'State Appropriations-4Yr'!Q53+'Local Appropriations-4Yr'!Q53+'Fed Contracts Grnts-4Yr'!Q53+'Other Contract Grnts-4Yr'!Q53+'Investment Income-4Yr'!Q53+'All Other E&amp;G-4Yr'!Q53</f>
        <v>0</v>
      </c>
      <c r="R53" s="58">
        <f>+'Tuition-4Yr'!R53+'State Appropriations-4Yr'!R53+'Local Appropriations-4Yr'!R53+'Fed Contracts Grnts-4Yr'!R53+'Other Contract Grnts-4Yr'!R53+'Investment Income-4Yr'!R53+'All Other E&amp;G-4Yr'!R53</f>
        <v>0</v>
      </c>
      <c r="S53" s="58">
        <f>+'Tuition-4Yr'!S53+'State Appropriations-4Yr'!S53+'Local Appropriations-4Yr'!S53+'Fed Contracts Grnts-4Yr'!S53+'Other Contract Grnts-4Yr'!S53+'Investment Income-4Yr'!S53+'All Other E&amp;G-4Yr'!S53</f>
        <v>0</v>
      </c>
      <c r="T53" s="58">
        <f>+'Tuition-4Yr'!T53+'State Appropriations-4Yr'!T53+'Local Appropriations-4Yr'!T53+'Fed Contracts Grnts-4Yr'!T53+'Other Contract Grnts-4Yr'!T53+'Investment Income-4Yr'!T53+'All Other E&amp;G-4Yr'!T53</f>
        <v>0</v>
      </c>
      <c r="U53" s="58">
        <f>+'Tuition-4Yr'!U53+'State Appropriations-4Yr'!U53+'Local Appropriations-4Yr'!U53+'Fed Contracts Grnts-4Yr'!U53+'Other Contract Grnts-4Yr'!U53+'Investment Income-4Yr'!U53+'All Other E&amp;G-4Yr'!U53</f>
        <v>0</v>
      </c>
      <c r="V53" s="58">
        <f>+'Tuition-4Yr'!V53+'State Appropriations-4Yr'!V53+'Local Appropriations-4Yr'!V53+'Fed Contracts Grnts-4Yr'!V53+'Other Contract Grnts-4Yr'!V53+'Investment Income-4Yr'!V53+'All Other E&amp;G-4Yr'!V53</f>
        <v>0</v>
      </c>
      <c r="W53" s="58">
        <f>+'Tuition-4Yr'!W53+'State Appropriations-4Yr'!W53+'Local Appropriations-4Yr'!W53+'Fed Contracts Grnts-4Yr'!W53+'Other Contract Grnts-4Yr'!W53+'Investment Income-4Yr'!W53+'All Other E&amp;G-4Yr'!W53</f>
        <v>0</v>
      </c>
      <c r="X53" s="58">
        <f>+'Tuition-4Yr'!X53+'State Appropriations-4Yr'!X53+'Local Appropriations-4Yr'!X53+'Fed Contracts Grnts-4Yr'!X53+'Other Contract Grnts-4Yr'!X53+'Investment Income-4Yr'!X53+'All Other E&amp;G-4Yr'!X53</f>
        <v>0</v>
      </c>
      <c r="Y53" s="58">
        <f>+'Tuition-4Yr'!Y53+'State Appropriations-4Yr'!Y53+'Local Appropriations-4Yr'!Y53+'Fed Contracts Grnts-4Yr'!Y53+'Other Contract Grnts-4Yr'!Y53+'Investment Income-4Yr'!Y53+'All Other E&amp;G-4Yr'!Y53</f>
        <v>0</v>
      </c>
      <c r="Z53" s="58">
        <f>+'Tuition-4Yr'!Z53+'State Appropriations-4Yr'!Z53+'Local Appropriations-4Yr'!Z53+'Fed Contracts Grnts-4Yr'!Z53+'Other Contract Grnts-4Yr'!Z53+'Investment Income-4Yr'!Z53+'All Other E&amp;G-4Yr'!Z53</f>
        <v>0</v>
      </c>
      <c r="AA53" s="58">
        <f>+'Tuition-4Yr'!AA53+'State Appropriations-4Yr'!AA53+'Local Appropriations-4Yr'!AA53+'Fed Contracts Grnts-4Yr'!AA53+'Other Contract Grnts-4Yr'!AA53+'Investment Income-4Yr'!AA53+'All Other E&amp;G-4Yr'!AA53</f>
        <v>0</v>
      </c>
      <c r="AB53" s="58">
        <f>+'Tuition-4Yr'!AB53+'State Appropriations-4Yr'!AB53+'Local Appropriations-4Yr'!AB53+'Fed Contracts Grnts-4Yr'!AB53+'Other Contract Grnts-4Yr'!AB53+'Investment Income-4Yr'!AB53+'All Other E&amp;G-4Yr'!AB53</f>
        <v>0</v>
      </c>
      <c r="AC53" s="58">
        <f>+'Tuition-4Yr'!AC53+'State Appropriations-4Yr'!AC53+'Local Appropriations-4Yr'!AC53+'Fed Contracts Grnts-4Yr'!AC53+'Other Contract Grnts-4Yr'!AC53+'Investment Income-4Yr'!AC53+'All Other E&amp;G-4Yr'!AC53</f>
        <v>0</v>
      </c>
      <c r="AD53" s="58">
        <f>+'Tuition-4Yr'!AD53+'State Appropriations-4Yr'!AD53+'Local Appropriations-4Yr'!AD53+'Fed Contracts Grnts-4Yr'!AD53+'Other Contract Grnts-4Yr'!AD53+'Investment Income-4Yr'!AD53+'All Other E&amp;G-4Yr'!AD53</f>
        <v>0</v>
      </c>
      <c r="AE53" s="58">
        <f>+'Tuition-4Yr'!AE53+'State Appropriations-4Yr'!AE53+'Local Appropriations-4Yr'!AE53+'Fed Contracts Grnts-4Yr'!AE53+'Other Contract Grnts-4Yr'!AE53+'Investment Income-4Yr'!AE53+'All Other E&amp;G-4Yr'!AE53</f>
        <v>0</v>
      </c>
      <c r="AF53" s="58">
        <f>+'Tuition-4Yr'!AF53+'State Appropriations-4Yr'!AF53+'Local Appropriations-4Yr'!AF53+'Fed Contracts Grnts-4Yr'!AF53+'Other Contract Grnts-4Yr'!AF53+'Investment Income-4Yr'!AF53+'All Other E&amp;G-4Yr'!AF53</f>
        <v>0</v>
      </c>
      <c r="AG53" s="58">
        <f>+'Tuition-4Yr'!AG53+'State Appropriations-4Yr'!AG53+'Local Appropriations-4Yr'!AG53+'Fed Contracts Grnts-4Yr'!AG53+'Other Contract Grnts-4Yr'!AG53+'Investment Income-4Yr'!AG53+'All Other E&amp;G-4Yr'!AG53</f>
        <v>0</v>
      </c>
      <c r="AH53" s="58">
        <f>+'Tuition-4Yr'!AH53+'State Appropriations-4Yr'!AH53+'Local Appropriations-4Yr'!AH53+'Fed Contracts Grnts-4Yr'!AH53+'Other Contract Grnts-4Yr'!AH53+'Investment Income-4Yr'!AH53+'All Other E&amp;G-4Yr'!AH53</f>
        <v>0</v>
      </c>
      <c r="AI53" s="58">
        <f>+'Tuition-4Yr'!AI53+'State Appropriations-4Yr'!AI53+'Local Appropriations-4Yr'!AI53+'Fed Contracts Grnts-4Yr'!AI53+'Other Contract Grnts-4Yr'!AI53+'Investment Income-4Yr'!AI53+'All Other E&amp;G-4Yr'!AI53</f>
        <v>0</v>
      </c>
      <c r="AJ53" s="58">
        <f>+'Tuition-4Yr'!AJ53+'State Appropriations-4Yr'!AJ53+'Local Appropriations-4Yr'!AJ53+'Fed Contracts Grnts-4Yr'!AJ53+'Other Contract Grnts-4Yr'!AJ53+'Investment Income-4Yr'!AJ53+'All Other E&amp;G-4Yr'!AJ53</f>
        <v>0</v>
      </c>
      <c r="AK53" s="58">
        <f>+'Tuition-4Yr'!AK53+'State Appropriations-4Yr'!AK53+'Local Appropriations-4Yr'!AK53+'Fed Contracts Grnts-4Yr'!AK53+'Other Contract Grnts-4Yr'!AK53+'Investment Income-4Yr'!AK53+'All Other E&amp;G-4Yr'!AK53</f>
        <v>0</v>
      </c>
    </row>
    <row r="54" spans="1:37" ht="12.75" customHeight="1">
      <c r="A54" s="1" t="s">
        <v>65</v>
      </c>
      <c r="B54" s="58">
        <f>+'Tuition-4Yr'!B54+'State Appropriations-4Yr'!B54+'Local Appropriations-4Yr'!B54+'Fed Contracts Grnts-4Yr'!B54+'Other Contract Grnts-4Yr'!B54+'Investment Income-4Yr'!B54+'All Other E&amp;G-4Yr'!B54</f>
        <v>0</v>
      </c>
      <c r="C54" s="58">
        <f>+'Tuition-4Yr'!C54+'State Appropriations-4Yr'!C54+'Local Appropriations-4Yr'!C54+'Fed Contracts Grnts-4Yr'!C54+'Other Contract Grnts-4Yr'!C54+'Investment Income-4Yr'!C54+'All Other E&amp;G-4Yr'!C54</f>
        <v>0</v>
      </c>
      <c r="D54" s="58">
        <f>+'Tuition-4Yr'!D54+'State Appropriations-4Yr'!D54+'Local Appropriations-4Yr'!D54+'Fed Contracts Grnts-4Yr'!D54+'Other Contract Grnts-4Yr'!D54+'Investment Income-4Yr'!D54+'All Other E&amp;G-4Yr'!D54</f>
        <v>0</v>
      </c>
      <c r="E54" s="58">
        <f>+'Tuition-4Yr'!E54+'State Appropriations-4Yr'!E54+'Local Appropriations-4Yr'!E54+'Fed Contracts Grnts-4Yr'!E54+'Other Contract Grnts-4Yr'!E54+'Investment Income-4Yr'!E54+'All Other E&amp;G-4Yr'!E54</f>
        <v>0</v>
      </c>
      <c r="F54" s="58">
        <f>+'Tuition-4Yr'!F54+'State Appropriations-4Yr'!F54+'Local Appropriations-4Yr'!F54+'Fed Contracts Grnts-4Yr'!F54+'Other Contract Grnts-4Yr'!F54+'Investment Income-4Yr'!F54+'All Other E&amp;G-4Yr'!F54</f>
        <v>0</v>
      </c>
      <c r="G54" s="58">
        <f>+'Tuition-4Yr'!G54+'State Appropriations-4Yr'!G54+'Local Appropriations-4Yr'!G54+'Fed Contracts Grnts-4Yr'!G54+'Other Contract Grnts-4Yr'!G54+'Investment Income-4Yr'!G54+'All Other E&amp;G-4Yr'!G54</f>
        <v>0</v>
      </c>
      <c r="H54" s="58">
        <f>+'Tuition-4Yr'!H54+'State Appropriations-4Yr'!H54+'Local Appropriations-4Yr'!H54+'Fed Contracts Grnts-4Yr'!H54+'Other Contract Grnts-4Yr'!H54+'Investment Income-4Yr'!H54+'All Other E&amp;G-4Yr'!H54</f>
        <v>0</v>
      </c>
      <c r="I54" s="58">
        <f>+'Tuition-4Yr'!I54+'State Appropriations-4Yr'!I54+'Local Appropriations-4Yr'!I54+'Fed Contracts Grnts-4Yr'!I54+'Other Contract Grnts-4Yr'!I54+'Investment Income-4Yr'!I54+'All Other E&amp;G-4Yr'!I54</f>
        <v>0</v>
      </c>
      <c r="J54" s="58">
        <f>+'Tuition-4Yr'!J54+'State Appropriations-4Yr'!J54+'Local Appropriations-4Yr'!J54+'Fed Contracts Grnts-4Yr'!J54+'Other Contract Grnts-4Yr'!J54+'Investment Income-4Yr'!J54+'All Other E&amp;G-4Yr'!J54</f>
        <v>549970.78799999994</v>
      </c>
      <c r="K54" s="58">
        <f>+'Tuition-4Yr'!K54+'State Appropriations-4Yr'!K54+'Local Appropriations-4Yr'!K54+'Fed Contracts Grnts-4Yr'!K54+'Other Contract Grnts-4Yr'!K54+'Investment Income-4Yr'!K54+'All Other E&amp;G-4Yr'!K54</f>
        <v>0</v>
      </c>
      <c r="L54" s="58">
        <f>+'Tuition-4Yr'!L54+'State Appropriations-4Yr'!L54+'Local Appropriations-4Yr'!L54+'Fed Contracts Grnts-4Yr'!L54+'Other Contract Grnts-4Yr'!L54+'Investment Income-4Yr'!L54+'All Other E&amp;G-4Yr'!L54</f>
        <v>0</v>
      </c>
      <c r="M54" s="58">
        <f>+'Tuition-4Yr'!M54+'State Appropriations-4Yr'!M54+'Local Appropriations-4Yr'!M54+'Fed Contracts Grnts-4Yr'!M54+'Other Contract Grnts-4Yr'!M54+'Investment Income-4Yr'!M54+'All Other E&amp;G-4Yr'!M54</f>
        <v>740340.68500000006</v>
      </c>
      <c r="N54" s="58">
        <f>+'Tuition-4Yr'!N54+'State Appropriations-4Yr'!N54+'Local Appropriations-4Yr'!N54+'Fed Contracts Grnts-4Yr'!N54+'Other Contract Grnts-4Yr'!N54+'Investment Income-4Yr'!N54+'All Other E&amp;G-4Yr'!N54</f>
        <v>0</v>
      </c>
      <c r="O54" s="58">
        <f>+'Tuition-4Yr'!O54+'State Appropriations-4Yr'!O54+'Local Appropriations-4Yr'!O54+'Fed Contracts Grnts-4Yr'!O54+'Other Contract Grnts-4Yr'!O54+'Investment Income-4Yr'!O54+'All Other E&amp;G-4Yr'!O54</f>
        <v>764125.23199999996</v>
      </c>
      <c r="P54" s="58">
        <f>+'Tuition-4Yr'!P54+'State Appropriations-4Yr'!P54+'Local Appropriations-4Yr'!P54+'Fed Contracts Grnts-4Yr'!P54+'Other Contract Grnts-4Yr'!P54+'Investment Income-4Yr'!P54+'All Other E&amp;G-4Yr'!P54</f>
        <v>0</v>
      </c>
      <c r="Q54" s="58">
        <f>+'Tuition-4Yr'!Q54+'State Appropriations-4Yr'!Q54+'Local Appropriations-4Yr'!Q54+'Fed Contracts Grnts-4Yr'!Q54+'Other Contract Grnts-4Yr'!Q54+'Investment Income-4Yr'!Q54+'All Other E&amp;G-4Yr'!Q54</f>
        <v>0</v>
      </c>
      <c r="R54" s="58">
        <f>+'Tuition-4Yr'!R54+'State Appropriations-4Yr'!R54+'Local Appropriations-4Yr'!R54+'Fed Contracts Grnts-4Yr'!R54+'Other Contract Grnts-4Yr'!R54+'Investment Income-4Yr'!R54+'All Other E&amp;G-4Yr'!R54</f>
        <v>989043.15700000012</v>
      </c>
      <c r="S54" s="58">
        <f>+'Tuition-4Yr'!S54+'State Appropriations-4Yr'!S54+'Local Appropriations-4Yr'!S54+'Fed Contracts Grnts-4Yr'!S54+'Other Contract Grnts-4Yr'!S54+'Investment Income-4Yr'!S54+'All Other E&amp;G-4Yr'!S54</f>
        <v>1016221.804</v>
      </c>
      <c r="T54" s="58">
        <f>+'Tuition-4Yr'!T54+'State Appropriations-4Yr'!T54+'Local Appropriations-4Yr'!T54+'Fed Contracts Grnts-4Yr'!T54+'Other Contract Grnts-4Yr'!T54+'Investment Income-4Yr'!T54+'All Other E&amp;G-4Yr'!T54</f>
        <v>1422060.1310000001</v>
      </c>
      <c r="U54" s="58">
        <f>+'Tuition-4Yr'!U54+'State Appropriations-4Yr'!U54+'Local Appropriations-4Yr'!U54+'Fed Contracts Grnts-4Yr'!U54+'Other Contract Grnts-4Yr'!U54+'Investment Income-4Yr'!U54+'All Other E&amp;G-4Yr'!U54</f>
        <v>1320325.8530000001</v>
      </c>
      <c r="V54" s="58">
        <f>+'Tuition-4Yr'!V54+'State Appropriations-4Yr'!V54+'Local Appropriations-4Yr'!V54+'Fed Contracts Grnts-4Yr'!V54+'Other Contract Grnts-4Yr'!V54+'Investment Income-4Yr'!V54+'All Other E&amp;G-4Yr'!V54</f>
        <v>1540497.4680000003</v>
      </c>
      <c r="W54" s="58">
        <f>+'Tuition-4Yr'!W54+'State Appropriations-4Yr'!W54+'Local Appropriations-4Yr'!W54+'Fed Contracts Grnts-4Yr'!W54+'Other Contract Grnts-4Yr'!W54+'Investment Income-4Yr'!W54+'All Other E&amp;G-4Yr'!W54</f>
        <v>1967689.4419999998</v>
      </c>
      <c r="X54" s="58">
        <f>+'Tuition-4Yr'!X54+'State Appropriations-4Yr'!X54+'Local Appropriations-4Yr'!X54+'Fed Contracts Grnts-4Yr'!X54+'Other Contract Grnts-4Yr'!X54+'Investment Income-4Yr'!X54+'All Other E&amp;G-4Yr'!X54</f>
        <v>1743173.977</v>
      </c>
      <c r="Y54" s="58">
        <f>+'Tuition-4Yr'!Y54+'State Appropriations-4Yr'!Y54+'Local Appropriations-4Yr'!Y54+'Fed Contracts Grnts-4Yr'!Y54+'Other Contract Grnts-4Yr'!Y54+'Investment Income-4Yr'!Y54+'All Other E&amp;G-4Yr'!Y54</f>
        <v>1697094.3509999998</v>
      </c>
      <c r="Z54" s="58">
        <f>+'Tuition-4Yr'!Z54+'State Appropriations-4Yr'!Z54+'Local Appropriations-4Yr'!Z54+'Fed Contracts Grnts-4Yr'!Z54+'Other Contract Grnts-4Yr'!Z54+'Investment Income-4Yr'!Z54+'All Other E&amp;G-4Yr'!Z54</f>
        <v>1827089.2079999999</v>
      </c>
      <c r="AA54" s="58">
        <f>+'Tuition-4Yr'!AA54+'State Appropriations-4Yr'!AA54+'Local Appropriations-4Yr'!AA54+'Fed Contracts Grnts-4Yr'!AA54+'Other Contract Grnts-4Yr'!AA54+'Investment Income-4Yr'!AA54+'All Other E&amp;G-4Yr'!AA54</f>
        <v>1815884.4850000001</v>
      </c>
      <c r="AB54" s="58">
        <f>+'Tuition-4Yr'!AB54+'State Appropriations-4Yr'!AB54+'Local Appropriations-4Yr'!AB54+'Fed Contracts Grnts-4Yr'!AB54+'Other Contract Grnts-4Yr'!AB54+'Investment Income-4Yr'!AB54+'All Other E&amp;G-4Yr'!AB54</f>
        <v>1828552.0690000004</v>
      </c>
      <c r="AC54" s="58">
        <f>+'Tuition-4Yr'!AC54+'State Appropriations-4Yr'!AC54+'Local Appropriations-4Yr'!AC54+'Fed Contracts Grnts-4Yr'!AC54+'Other Contract Grnts-4Yr'!AC54+'Investment Income-4Yr'!AC54+'All Other E&amp;G-4Yr'!AC54</f>
        <v>1949389</v>
      </c>
      <c r="AD54" s="58">
        <f>+'Tuition-4Yr'!AD54+'State Appropriations-4Yr'!AD54+'Local Appropriations-4Yr'!AD54+'Fed Contracts Grnts-4Yr'!AD54+'Other Contract Grnts-4Yr'!AD54+'Investment Income-4Yr'!AD54+'All Other E&amp;G-4Yr'!AD54</f>
        <v>1866264.62</v>
      </c>
      <c r="AE54" s="58">
        <f>+'Tuition-4Yr'!AE54+'State Appropriations-4Yr'!AE54+'Local Appropriations-4Yr'!AE54+'Fed Contracts Grnts-4Yr'!AE54+'Other Contract Grnts-4Yr'!AE54+'Investment Income-4Yr'!AE54+'All Other E&amp;G-4Yr'!AE54</f>
        <v>1922277.2880000002</v>
      </c>
      <c r="AF54" s="58">
        <f>+'Tuition-4Yr'!AF54+'State Appropriations-4Yr'!AF54+'Local Appropriations-4Yr'!AF54+'Fed Contracts Grnts-4Yr'!AF54+'Other Contract Grnts-4Yr'!AF54+'Investment Income-4Yr'!AF54+'All Other E&amp;G-4Yr'!AF54</f>
        <v>2055071.8309999998</v>
      </c>
      <c r="AG54" s="58">
        <f>+'Tuition-4Yr'!AG54+'State Appropriations-4Yr'!AG54+'Local Appropriations-4Yr'!AG54+'Fed Contracts Grnts-4Yr'!AG54+'Other Contract Grnts-4Yr'!AG54+'Investment Income-4Yr'!AG54+'All Other E&amp;G-4Yr'!AG54</f>
        <v>2241995.727</v>
      </c>
      <c r="AH54" s="58">
        <f>+'Tuition-4Yr'!AH54+'State Appropriations-4Yr'!AH54+'Local Appropriations-4Yr'!AH54+'Fed Contracts Grnts-4Yr'!AH54+'Other Contract Grnts-4Yr'!AH54+'Investment Income-4Yr'!AH54+'All Other E&amp;G-4Yr'!AH54</f>
        <v>2384075.7000000002</v>
      </c>
      <c r="AI54" s="58">
        <f>+'Tuition-4Yr'!AI54+'State Appropriations-4Yr'!AI54+'Local Appropriations-4Yr'!AI54+'Fed Contracts Grnts-4Yr'!AI54+'Other Contract Grnts-4Yr'!AI54+'Investment Income-4Yr'!AI54+'All Other E&amp;G-4Yr'!AI54</f>
        <v>2381468.5819999999</v>
      </c>
      <c r="AJ54" s="58">
        <f>+'Tuition-4Yr'!AJ54+'State Appropriations-4Yr'!AJ54+'Local Appropriations-4Yr'!AJ54+'Fed Contracts Grnts-4Yr'!AJ54+'Other Contract Grnts-4Yr'!AJ54+'Investment Income-4Yr'!AJ54+'All Other E&amp;G-4Yr'!AJ54</f>
        <v>0</v>
      </c>
      <c r="AK54" s="58">
        <f>+'Tuition-4Yr'!AK54+'State Appropriations-4Yr'!AK54+'Local Appropriations-4Yr'!AK54+'Fed Contracts Grnts-4Yr'!AK54+'Other Contract Grnts-4Yr'!AK54+'Investment Income-4Yr'!AK54+'All Other E&amp;G-4Yr'!AK54</f>
        <v>2682427.4049999998</v>
      </c>
    </row>
    <row r="55" spans="1:37" ht="12.75" customHeight="1">
      <c r="A55" s="1" t="s">
        <v>66</v>
      </c>
      <c r="B55" s="58">
        <f>+'Tuition-4Yr'!B55+'State Appropriations-4Yr'!B55+'Local Appropriations-4Yr'!B55+'Fed Contracts Grnts-4Yr'!B55+'Other Contract Grnts-4Yr'!B55+'Investment Income-4Yr'!B55+'All Other E&amp;G-4Yr'!B55</f>
        <v>0</v>
      </c>
      <c r="C55" s="58">
        <f>+'Tuition-4Yr'!C55+'State Appropriations-4Yr'!C55+'Local Appropriations-4Yr'!C55+'Fed Contracts Grnts-4Yr'!C55+'Other Contract Grnts-4Yr'!C55+'Investment Income-4Yr'!C55+'All Other E&amp;G-4Yr'!C55</f>
        <v>0</v>
      </c>
      <c r="D55" s="58">
        <f>+'Tuition-4Yr'!D55+'State Appropriations-4Yr'!D55+'Local Appropriations-4Yr'!D55+'Fed Contracts Grnts-4Yr'!D55+'Other Contract Grnts-4Yr'!D55+'Investment Income-4Yr'!D55+'All Other E&amp;G-4Yr'!D55</f>
        <v>0</v>
      </c>
      <c r="E55" s="58">
        <f>+'Tuition-4Yr'!E55+'State Appropriations-4Yr'!E55+'Local Appropriations-4Yr'!E55+'Fed Contracts Grnts-4Yr'!E55+'Other Contract Grnts-4Yr'!E55+'Investment Income-4Yr'!E55+'All Other E&amp;G-4Yr'!E55</f>
        <v>0</v>
      </c>
      <c r="F55" s="58">
        <f>+'Tuition-4Yr'!F55+'State Appropriations-4Yr'!F55+'Local Appropriations-4Yr'!F55+'Fed Contracts Grnts-4Yr'!F55+'Other Contract Grnts-4Yr'!F55+'Investment Income-4Yr'!F55+'All Other E&amp;G-4Yr'!F55</f>
        <v>0</v>
      </c>
      <c r="G55" s="58">
        <f>+'Tuition-4Yr'!G55+'State Appropriations-4Yr'!G55+'Local Appropriations-4Yr'!G55+'Fed Contracts Grnts-4Yr'!G55+'Other Contract Grnts-4Yr'!G55+'Investment Income-4Yr'!G55+'All Other E&amp;G-4Yr'!G55</f>
        <v>0</v>
      </c>
      <c r="H55" s="58">
        <f>+'Tuition-4Yr'!H55+'State Appropriations-4Yr'!H55+'Local Appropriations-4Yr'!H55+'Fed Contracts Grnts-4Yr'!H55+'Other Contract Grnts-4Yr'!H55+'Investment Income-4Yr'!H55+'All Other E&amp;G-4Yr'!H55</f>
        <v>0</v>
      </c>
      <c r="I55" s="58">
        <f>+'Tuition-4Yr'!I55+'State Appropriations-4Yr'!I55+'Local Appropriations-4Yr'!I55+'Fed Contracts Grnts-4Yr'!I55+'Other Contract Grnts-4Yr'!I55+'Investment Income-4Yr'!I55+'All Other E&amp;G-4Yr'!I55</f>
        <v>0</v>
      </c>
      <c r="J55" s="58">
        <f>+'Tuition-4Yr'!J55+'State Appropriations-4Yr'!J55+'Local Appropriations-4Yr'!J55+'Fed Contracts Grnts-4Yr'!J55+'Other Contract Grnts-4Yr'!J55+'Investment Income-4Yr'!J55+'All Other E&amp;G-4Yr'!J55</f>
        <v>274786.68800000002</v>
      </c>
      <c r="K55" s="58">
        <f>+'Tuition-4Yr'!K55+'State Appropriations-4Yr'!K55+'Local Appropriations-4Yr'!K55+'Fed Contracts Grnts-4Yr'!K55+'Other Contract Grnts-4Yr'!K55+'Investment Income-4Yr'!K55+'All Other E&amp;G-4Yr'!K55</f>
        <v>0</v>
      </c>
      <c r="L55" s="58">
        <f>+'Tuition-4Yr'!L55+'State Appropriations-4Yr'!L55+'Local Appropriations-4Yr'!L55+'Fed Contracts Grnts-4Yr'!L55+'Other Contract Grnts-4Yr'!L55+'Investment Income-4Yr'!L55+'All Other E&amp;G-4Yr'!L55</f>
        <v>0</v>
      </c>
      <c r="M55" s="58">
        <f>+'Tuition-4Yr'!M55+'State Appropriations-4Yr'!M55+'Local Appropriations-4Yr'!M55+'Fed Contracts Grnts-4Yr'!M55+'Other Contract Grnts-4Yr'!M55+'Investment Income-4Yr'!M55+'All Other E&amp;G-4Yr'!M55</f>
        <v>306412.10700000008</v>
      </c>
      <c r="N55" s="58">
        <f>+'Tuition-4Yr'!N55+'State Appropriations-4Yr'!N55+'Local Appropriations-4Yr'!N55+'Fed Contracts Grnts-4Yr'!N55+'Other Contract Grnts-4Yr'!N55+'Investment Income-4Yr'!N55+'All Other E&amp;G-4Yr'!N55</f>
        <v>0</v>
      </c>
      <c r="O55" s="58">
        <f>+'Tuition-4Yr'!O55+'State Appropriations-4Yr'!O55+'Local Appropriations-4Yr'!O55+'Fed Contracts Grnts-4Yr'!O55+'Other Contract Grnts-4Yr'!O55+'Investment Income-4Yr'!O55+'All Other E&amp;G-4Yr'!O55</f>
        <v>350816.08899999998</v>
      </c>
      <c r="P55" s="58">
        <f>+'Tuition-4Yr'!P55+'State Appropriations-4Yr'!P55+'Local Appropriations-4Yr'!P55+'Fed Contracts Grnts-4Yr'!P55+'Other Contract Grnts-4Yr'!P55+'Investment Income-4Yr'!P55+'All Other E&amp;G-4Yr'!P55</f>
        <v>0</v>
      </c>
      <c r="Q55" s="58">
        <f>+'Tuition-4Yr'!Q55+'State Appropriations-4Yr'!Q55+'Local Appropriations-4Yr'!Q55+'Fed Contracts Grnts-4Yr'!Q55+'Other Contract Grnts-4Yr'!Q55+'Investment Income-4Yr'!Q55+'All Other E&amp;G-4Yr'!Q55</f>
        <v>0</v>
      </c>
      <c r="R55" s="58">
        <f>+'Tuition-4Yr'!R55+'State Appropriations-4Yr'!R55+'Local Appropriations-4Yr'!R55+'Fed Contracts Grnts-4Yr'!R55+'Other Contract Grnts-4Yr'!R55+'Investment Income-4Yr'!R55+'All Other E&amp;G-4Yr'!R55</f>
        <v>399818.79100000003</v>
      </c>
      <c r="S55" s="58">
        <f>+'Tuition-4Yr'!S55+'State Appropriations-4Yr'!S55+'Local Appropriations-4Yr'!S55+'Fed Contracts Grnts-4Yr'!S55+'Other Contract Grnts-4Yr'!S55+'Investment Income-4Yr'!S55+'All Other E&amp;G-4Yr'!S55</f>
        <v>426874.239</v>
      </c>
      <c r="T55" s="58">
        <f>+'Tuition-4Yr'!T55+'State Appropriations-4Yr'!T55+'Local Appropriations-4Yr'!T55+'Fed Contracts Grnts-4Yr'!T55+'Other Contract Grnts-4Yr'!T55+'Investment Income-4Yr'!T55+'All Other E&amp;G-4Yr'!T55</f>
        <v>466525.08599999995</v>
      </c>
      <c r="U55" s="58">
        <f>+'Tuition-4Yr'!U55+'State Appropriations-4Yr'!U55+'Local Appropriations-4Yr'!U55+'Fed Contracts Grnts-4Yr'!U55+'Other Contract Grnts-4Yr'!U55+'Investment Income-4Yr'!U55+'All Other E&amp;G-4Yr'!U55</f>
        <v>468250.70299999998</v>
      </c>
      <c r="V55" s="58">
        <f>+'Tuition-4Yr'!V55+'State Appropriations-4Yr'!V55+'Local Appropriations-4Yr'!V55+'Fed Contracts Grnts-4Yr'!V55+'Other Contract Grnts-4Yr'!V55+'Investment Income-4Yr'!V55+'All Other E&amp;G-4Yr'!V55</f>
        <v>495686.74099999998</v>
      </c>
      <c r="W55" s="58">
        <f>+'Tuition-4Yr'!W55+'State Appropriations-4Yr'!W55+'Local Appropriations-4Yr'!W55+'Fed Contracts Grnts-4Yr'!W55+'Other Contract Grnts-4Yr'!W55+'Investment Income-4Yr'!W55+'All Other E&amp;G-4Yr'!W55</f>
        <v>553603.54700000002</v>
      </c>
      <c r="X55" s="58">
        <f>+'Tuition-4Yr'!X55+'State Appropriations-4Yr'!X55+'Local Appropriations-4Yr'!X55+'Fed Contracts Grnts-4Yr'!X55+'Other Contract Grnts-4Yr'!X55+'Investment Income-4Yr'!X55+'All Other E&amp;G-4Yr'!X55</f>
        <v>519223.30599999998</v>
      </c>
      <c r="Y55" s="58">
        <f>+'Tuition-4Yr'!Y55+'State Appropriations-4Yr'!Y55+'Local Appropriations-4Yr'!Y55+'Fed Contracts Grnts-4Yr'!Y55+'Other Contract Grnts-4Yr'!Y55+'Investment Income-4Yr'!Y55+'All Other E&amp;G-4Yr'!Y55</f>
        <v>556327.66599999997</v>
      </c>
      <c r="Z55" s="58">
        <f>+'Tuition-4Yr'!Z55+'State Appropriations-4Yr'!Z55+'Local Appropriations-4Yr'!Z55+'Fed Contracts Grnts-4Yr'!Z55+'Other Contract Grnts-4Yr'!Z55+'Investment Income-4Yr'!Z55+'All Other E&amp;G-4Yr'!Z55</f>
        <v>563354.56799999997</v>
      </c>
      <c r="AA55" s="58">
        <f>+'Tuition-4Yr'!AA55+'State Appropriations-4Yr'!AA55+'Local Appropriations-4Yr'!AA55+'Fed Contracts Grnts-4Yr'!AA55+'Other Contract Grnts-4Yr'!AA55+'Investment Income-4Yr'!AA55+'All Other E&amp;G-4Yr'!AA55</f>
        <v>634657.69200000004</v>
      </c>
      <c r="AB55" s="58">
        <f>+'Tuition-4Yr'!AB55+'State Appropriations-4Yr'!AB55+'Local Appropriations-4Yr'!AB55+'Fed Contracts Grnts-4Yr'!AB55+'Other Contract Grnts-4Yr'!AB55+'Investment Income-4Yr'!AB55+'All Other E&amp;G-4Yr'!AB55</f>
        <v>683566.66499999992</v>
      </c>
      <c r="AC55" s="58">
        <f>+'Tuition-4Yr'!AC55+'State Appropriations-4Yr'!AC55+'Local Appropriations-4Yr'!AC55+'Fed Contracts Grnts-4Yr'!AC55+'Other Contract Grnts-4Yr'!AC55+'Investment Income-4Yr'!AC55+'All Other E&amp;G-4Yr'!AC55</f>
        <v>718800</v>
      </c>
      <c r="AD55" s="58">
        <f>+'Tuition-4Yr'!AD55+'State Appropriations-4Yr'!AD55+'Local Appropriations-4Yr'!AD55+'Fed Contracts Grnts-4Yr'!AD55+'Other Contract Grnts-4Yr'!AD55+'Investment Income-4Yr'!AD55+'All Other E&amp;G-4Yr'!AD55</f>
        <v>691627.49199999997</v>
      </c>
      <c r="AE55" s="58">
        <f>+'Tuition-4Yr'!AE55+'State Appropriations-4Yr'!AE55+'Local Appropriations-4Yr'!AE55+'Fed Contracts Grnts-4Yr'!AE55+'Other Contract Grnts-4Yr'!AE55+'Investment Income-4Yr'!AE55+'All Other E&amp;G-4Yr'!AE55</f>
        <v>678952.06199999992</v>
      </c>
      <c r="AF55" s="58">
        <f>+'Tuition-4Yr'!AF55+'State Appropriations-4Yr'!AF55+'Local Appropriations-4Yr'!AF55+'Fed Contracts Grnts-4Yr'!AF55+'Other Contract Grnts-4Yr'!AF55+'Investment Income-4Yr'!AF55+'All Other E&amp;G-4Yr'!AF55</f>
        <v>654401.10700000008</v>
      </c>
      <c r="AG55" s="58">
        <f>+'Tuition-4Yr'!AG55+'State Appropriations-4Yr'!AG55+'Local Appropriations-4Yr'!AG55+'Fed Contracts Grnts-4Yr'!AG55+'Other Contract Grnts-4Yr'!AG55+'Investment Income-4Yr'!AG55+'All Other E&amp;G-4Yr'!AG55</f>
        <v>665422.125</v>
      </c>
      <c r="AH55" s="58">
        <f>+'Tuition-4Yr'!AH55+'State Appropriations-4Yr'!AH55+'Local Appropriations-4Yr'!AH55+'Fed Contracts Grnts-4Yr'!AH55+'Other Contract Grnts-4Yr'!AH55+'Investment Income-4Yr'!AH55+'All Other E&amp;G-4Yr'!AH55</f>
        <v>693716.06099999999</v>
      </c>
      <c r="AI55" s="58">
        <f>+'Tuition-4Yr'!AI55+'State Appropriations-4Yr'!AI55+'Local Appropriations-4Yr'!AI55+'Fed Contracts Grnts-4Yr'!AI55+'Other Contract Grnts-4Yr'!AI55+'Investment Income-4Yr'!AI55+'All Other E&amp;G-4Yr'!AI55</f>
        <v>727821.13799999992</v>
      </c>
      <c r="AJ55" s="58">
        <f>+'Tuition-4Yr'!AJ55+'State Appropriations-4Yr'!AJ55+'Local Appropriations-4Yr'!AJ55+'Fed Contracts Grnts-4Yr'!AJ55+'Other Contract Grnts-4Yr'!AJ55+'Investment Income-4Yr'!AJ55+'All Other E&amp;G-4Yr'!AJ55</f>
        <v>0</v>
      </c>
      <c r="AK55" s="58">
        <f>+'Tuition-4Yr'!AK55+'State Appropriations-4Yr'!AK55+'Local Appropriations-4Yr'!AK55+'Fed Contracts Grnts-4Yr'!AK55+'Other Contract Grnts-4Yr'!AK55+'Investment Income-4Yr'!AK55+'All Other E&amp;G-4Yr'!AK55</f>
        <v>812872.22</v>
      </c>
    </row>
    <row r="56" spans="1:37" ht="12.75" customHeight="1">
      <c r="A56" s="1" t="s">
        <v>67</v>
      </c>
      <c r="B56" s="58">
        <f>+'Tuition-4Yr'!B56+'State Appropriations-4Yr'!B56+'Local Appropriations-4Yr'!B56+'Fed Contracts Grnts-4Yr'!B56+'Other Contract Grnts-4Yr'!B56+'Investment Income-4Yr'!B56+'All Other E&amp;G-4Yr'!B56</f>
        <v>0</v>
      </c>
      <c r="C56" s="58">
        <f>+'Tuition-4Yr'!C56+'State Appropriations-4Yr'!C56+'Local Appropriations-4Yr'!C56+'Fed Contracts Grnts-4Yr'!C56+'Other Contract Grnts-4Yr'!C56+'Investment Income-4Yr'!C56+'All Other E&amp;G-4Yr'!C56</f>
        <v>0</v>
      </c>
      <c r="D56" s="58">
        <f>+'Tuition-4Yr'!D56+'State Appropriations-4Yr'!D56+'Local Appropriations-4Yr'!D56+'Fed Contracts Grnts-4Yr'!D56+'Other Contract Grnts-4Yr'!D56+'Investment Income-4Yr'!D56+'All Other E&amp;G-4Yr'!D56</f>
        <v>0</v>
      </c>
      <c r="E56" s="58">
        <f>+'Tuition-4Yr'!E56+'State Appropriations-4Yr'!E56+'Local Appropriations-4Yr'!E56+'Fed Contracts Grnts-4Yr'!E56+'Other Contract Grnts-4Yr'!E56+'Investment Income-4Yr'!E56+'All Other E&amp;G-4Yr'!E56</f>
        <v>0</v>
      </c>
      <c r="F56" s="58">
        <f>+'Tuition-4Yr'!F56+'State Appropriations-4Yr'!F56+'Local Appropriations-4Yr'!F56+'Fed Contracts Grnts-4Yr'!F56+'Other Contract Grnts-4Yr'!F56+'Investment Income-4Yr'!F56+'All Other E&amp;G-4Yr'!F56</f>
        <v>0</v>
      </c>
      <c r="G56" s="58">
        <f>+'Tuition-4Yr'!G56+'State Appropriations-4Yr'!G56+'Local Appropriations-4Yr'!G56+'Fed Contracts Grnts-4Yr'!G56+'Other Contract Grnts-4Yr'!G56+'Investment Income-4Yr'!G56+'All Other E&amp;G-4Yr'!G56</f>
        <v>0</v>
      </c>
      <c r="H56" s="58">
        <f>+'Tuition-4Yr'!H56+'State Appropriations-4Yr'!H56+'Local Appropriations-4Yr'!H56+'Fed Contracts Grnts-4Yr'!H56+'Other Contract Grnts-4Yr'!H56+'Investment Income-4Yr'!H56+'All Other E&amp;G-4Yr'!H56</f>
        <v>0</v>
      </c>
      <c r="I56" s="58">
        <f>+'Tuition-4Yr'!I56+'State Appropriations-4Yr'!I56+'Local Appropriations-4Yr'!I56+'Fed Contracts Grnts-4Yr'!I56+'Other Contract Grnts-4Yr'!I56+'Investment Income-4Yr'!I56+'All Other E&amp;G-4Yr'!I56</f>
        <v>0</v>
      </c>
      <c r="J56" s="58">
        <f>+'Tuition-4Yr'!J56+'State Appropriations-4Yr'!J56+'Local Appropriations-4Yr'!J56+'Fed Contracts Grnts-4Yr'!J56+'Other Contract Grnts-4Yr'!J56+'Investment Income-4Yr'!J56+'All Other E&amp;G-4Yr'!J56</f>
        <v>1002899.3780000001</v>
      </c>
      <c r="K56" s="58">
        <f>+'Tuition-4Yr'!K56+'State Appropriations-4Yr'!K56+'Local Appropriations-4Yr'!K56+'Fed Contracts Grnts-4Yr'!K56+'Other Contract Grnts-4Yr'!K56+'Investment Income-4Yr'!K56+'All Other E&amp;G-4Yr'!K56</f>
        <v>0</v>
      </c>
      <c r="L56" s="58">
        <f>+'Tuition-4Yr'!L56+'State Appropriations-4Yr'!L56+'Local Appropriations-4Yr'!L56+'Fed Contracts Grnts-4Yr'!L56+'Other Contract Grnts-4Yr'!L56+'Investment Income-4Yr'!L56+'All Other E&amp;G-4Yr'!L56</f>
        <v>0</v>
      </c>
      <c r="M56" s="58">
        <f>+'Tuition-4Yr'!M56+'State Appropriations-4Yr'!M56+'Local Appropriations-4Yr'!M56+'Fed Contracts Grnts-4Yr'!M56+'Other Contract Grnts-4Yr'!M56+'Investment Income-4Yr'!M56+'All Other E&amp;G-4Yr'!M56</f>
        <v>1093665.548</v>
      </c>
      <c r="N56" s="58">
        <f>+'Tuition-4Yr'!N56+'State Appropriations-4Yr'!N56+'Local Appropriations-4Yr'!N56+'Fed Contracts Grnts-4Yr'!N56+'Other Contract Grnts-4Yr'!N56+'Investment Income-4Yr'!N56+'All Other E&amp;G-4Yr'!N56</f>
        <v>0</v>
      </c>
      <c r="O56" s="58">
        <f>+'Tuition-4Yr'!O56+'State Appropriations-4Yr'!O56+'Local Appropriations-4Yr'!O56+'Fed Contracts Grnts-4Yr'!O56+'Other Contract Grnts-4Yr'!O56+'Investment Income-4Yr'!O56+'All Other E&amp;G-4Yr'!O56</f>
        <v>1259116.425</v>
      </c>
      <c r="P56" s="58">
        <f>+'Tuition-4Yr'!P56+'State Appropriations-4Yr'!P56+'Local Appropriations-4Yr'!P56+'Fed Contracts Grnts-4Yr'!P56+'Other Contract Grnts-4Yr'!P56+'Investment Income-4Yr'!P56+'All Other E&amp;G-4Yr'!P56</f>
        <v>0</v>
      </c>
      <c r="Q56" s="58">
        <f>+'Tuition-4Yr'!Q56+'State Appropriations-4Yr'!Q56+'Local Appropriations-4Yr'!Q56+'Fed Contracts Grnts-4Yr'!Q56+'Other Contract Grnts-4Yr'!Q56+'Investment Income-4Yr'!Q56+'All Other E&amp;G-4Yr'!Q56</f>
        <v>0</v>
      </c>
      <c r="R56" s="58">
        <f>+'Tuition-4Yr'!R56+'State Appropriations-4Yr'!R56+'Local Appropriations-4Yr'!R56+'Fed Contracts Grnts-4Yr'!R56+'Other Contract Grnts-4Yr'!R56+'Investment Income-4Yr'!R56+'All Other E&amp;G-4Yr'!R56</f>
        <v>1550130.54</v>
      </c>
      <c r="S56" s="58">
        <f>+'Tuition-4Yr'!S56+'State Appropriations-4Yr'!S56+'Local Appropriations-4Yr'!S56+'Fed Contracts Grnts-4Yr'!S56+'Other Contract Grnts-4Yr'!S56+'Investment Income-4Yr'!S56+'All Other E&amp;G-4Yr'!S56</f>
        <v>1641358.7849999999</v>
      </c>
      <c r="T56" s="58">
        <f>+'Tuition-4Yr'!T56+'State Appropriations-4Yr'!T56+'Local Appropriations-4Yr'!T56+'Fed Contracts Grnts-4Yr'!T56+'Other Contract Grnts-4Yr'!T56+'Investment Income-4Yr'!T56+'All Other E&amp;G-4Yr'!T56</f>
        <v>1747039.1230000001</v>
      </c>
      <c r="U56" s="58">
        <f>+'Tuition-4Yr'!U56+'State Appropriations-4Yr'!U56+'Local Appropriations-4Yr'!U56+'Fed Contracts Grnts-4Yr'!U56+'Other Contract Grnts-4Yr'!U56+'Investment Income-4Yr'!U56+'All Other E&amp;G-4Yr'!U56</f>
        <v>1735033.9809999999</v>
      </c>
      <c r="V56" s="58">
        <f>+'Tuition-4Yr'!V56+'State Appropriations-4Yr'!V56+'Local Appropriations-4Yr'!V56+'Fed Contracts Grnts-4Yr'!V56+'Other Contract Grnts-4Yr'!V56+'Investment Income-4Yr'!V56+'All Other E&amp;G-4Yr'!V56</f>
        <v>1856247.091</v>
      </c>
      <c r="W56" s="58">
        <f>+'Tuition-4Yr'!W56+'State Appropriations-4Yr'!W56+'Local Appropriations-4Yr'!W56+'Fed Contracts Grnts-4Yr'!W56+'Other Contract Grnts-4Yr'!W56+'Investment Income-4Yr'!W56+'All Other E&amp;G-4Yr'!W56</f>
        <v>2353799.2450000001</v>
      </c>
      <c r="X56" s="58">
        <f>+'Tuition-4Yr'!X56+'State Appropriations-4Yr'!X56+'Local Appropriations-4Yr'!X56+'Fed Contracts Grnts-4Yr'!X56+'Other Contract Grnts-4Yr'!X56+'Investment Income-4Yr'!X56+'All Other E&amp;G-4Yr'!X56</f>
        <v>2352003.7259999998</v>
      </c>
      <c r="Y56" s="58">
        <f>+'Tuition-4Yr'!Y56+'State Appropriations-4Yr'!Y56+'Local Appropriations-4Yr'!Y56+'Fed Contracts Grnts-4Yr'!Y56+'Other Contract Grnts-4Yr'!Y56+'Investment Income-4Yr'!Y56+'All Other E&amp;G-4Yr'!Y56</f>
        <v>2574190.7069999999</v>
      </c>
      <c r="Z56" s="58">
        <f>+'Tuition-4Yr'!Z56+'State Appropriations-4Yr'!Z56+'Local Appropriations-4Yr'!Z56+'Fed Contracts Grnts-4Yr'!Z56+'Other Contract Grnts-4Yr'!Z56+'Investment Income-4Yr'!Z56+'All Other E&amp;G-4Yr'!Z56</f>
        <v>2599633.548</v>
      </c>
      <c r="AA56" s="58">
        <f>+'Tuition-4Yr'!AA56+'State Appropriations-4Yr'!AA56+'Local Appropriations-4Yr'!AA56+'Fed Contracts Grnts-4Yr'!AA56+'Other Contract Grnts-4Yr'!AA56+'Investment Income-4Yr'!AA56+'All Other E&amp;G-4Yr'!AA56</f>
        <v>1977726.02</v>
      </c>
      <c r="AB56" s="58">
        <f>+'Tuition-4Yr'!AB56+'State Appropriations-4Yr'!AB56+'Local Appropriations-4Yr'!AB56+'Fed Contracts Grnts-4Yr'!AB56+'Other Contract Grnts-4Yr'!AB56+'Investment Income-4Yr'!AB56+'All Other E&amp;G-4Yr'!AB56</f>
        <v>3089212.173</v>
      </c>
      <c r="AC56" s="58">
        <f>+'Tuition-4Yr'!AC56+'State Appropriations-4Yr'!AC56+'Local Appropriations-4Yr'!AC56+'Fed Contracts Grnts-4Yr'!AC56+'Other Contract Grnts-4Yr'!AC56+'Investment Income-4Yr'!AC56+'All Other E&amp;G-4Yr'!AC56</f>
        <v>3285727</v>
      </c>
      <c r="AD56" s="58">
        <f>+'Tuition-4Yr'!AD56+'State Appropriations-4Yr'!AD56+'Local Appropriations-4Yr'!AD56+'Fed Contracts Grnts-4Yr'!AD56+'Other Contract Grnts-4Yr'!AD56+'Investment Income-4Yr'!AD56+'All Other E&amp;G-4Yr'!AD56</f>
        <v>3205304.406</v>
      </c>
      <c r="AE56" s="58">
        <f>+'Tuition-4Yr'!AE56+'State Appropriations-4Yr'!AE56+'Local Appropriations-4Yr'!AE56+'Fed Contracts Grnts-4Yr'!AE56+'Other Contract Grnts-4Yr'!AE56+'Investment Income-4Yr'!AE56+'All Other E&amp;G-4Yr'!AE56</f>
        <v>3387513.5689999992</v>
      </c>
      <c r="AF56" s="58">
        <f>+'Tuition-4Yr'!AF56+'State Appropriations-4Yr'!AF56+'Local Appropriations-4Yr'!AF56+'Fed Contracts Grnts-4Yr'!AF56+'Other Contract Grnts-4Yr'!AF56+'Investment Income-4Yr'!AF56+'All Other E&amp;G-4Yr'!AF56</f>
        <v>3547130.801</v>
      </c>
      <c r="AG56" s="58">
        <f>+'Tuition-4Yr'!AG56+'State Appropriations-4Yr'!AG56+'Local Appropriations-4Yr'!AG56+'Fed Contracts Grnts-4Yr'!AG56+'Other Contract Grnts-4Yr'!AG56+'Investment Income-4Yr'!AG56+'All Other E&amp;G-4Yr'!AG56</f>
        <v>3530694.8810000001</v>
      </c>
      <c r="AH56" s="58">
        <f>+'Tuition-4Yr'!AH56+'State Appropriations-4Yr'!AH56+'Local Appropriations-4Yr'!AH56+'Fed Contracts Grnts-4Yr'!AH56+'Other Contract Grnts-4Yr'!AH56+'Investment Income-4Yr'!AH56+'All Other E&amp;G-4Yr'!AH56</f>
        <v>3860550.7110000001</v>
      </c>
      <c r="AI56" s="58">
        <f>+'Tuition-4Yr'!AI56+'State Appropriations-4Yr'!AI56+'Local Appropriations-4Yr'!AI56+'Fed Contracts Grnts-4Yr'!AI56+'Other Contract Grnts-4Yr'!AI56+'Investment Income-4Yr'!AI56+'All Other E&amp;G-4Yr'!AI56</f>
        <v>4049231.2139999997</v>
      </c>
      <c r="AJ56" s="58">
        <f>+'Tuition-4Yr'!AJ56+'State Appropriations-4Yr'!AJ56+'Local Appropriations-4Yr'!AJ56+'Fed Contracts Grnts-4Yr'!AJ56+'Other Contract Grnts-4Yr'!AJ56+'Investment Income-4Yr'!AJ56+'All Other E&amp;G-4Yr'!AJ56</f>
        <v>0</v>
      </c>
      <c r="AK56" s="58">
        <f>+'Tuition-4Yr'!AK56+'State Appropriations-4Yr'!AK56+'Local Appropriations-4Yr'!AK56+'Fed Contracts Grnts-4Yr'!AK56+'Other Contract Grnts-4Yr'!AK56+'Investment Income-4Yr'!AK56+'All Other E&amp;G-4Yr'!AK56</f>
        <v>4357060.7849999992</v>
      </c>
    </row>
    <row r="57" spans="1:37" ht="12.75" customHeight="1">
      <c r="A57" s="1" t="s">
        <v>68</v>
      </c>
      <c r="B57" s="58">
        <f>+'Tuition-4Yr'!B57+'State Appropriations-4Yr'!B57+'Local Appropriations-4Yr'!B57+'Fed Contracts Grnts-4Yr'!B57+'Other Contract Grnts-4Yr'!B57+'Investment Income-4Yr'!B57+'All Other E&amp;G-4Yr'!B57</f>
        <v>0</v>
      </c>
      <c r="C57" s="58">
        <f>+'Tuition-4Yr'!C57+'State Appropriations-4Yr'!C57+'Local Appropriations-4Yr'!C57+'Fed Contracts Grnts-4Yr'!C57+'Other Contract Grnts-4Yr'!C57+'Investment Income-4Yr'!C57+'All Other E&amp;G-4Yr'!C57</f>
        <v>0</v>
      </c>
      <c r="D57" s="58">
        <f>+'Tuition-4Yr'!D57+'State Appropriations-4Yr'!D57+'Local Appropriations-4Yr'!D57+'Fed Contracts Grnts-4Yr'!D57+'Other Contract Grnts-4Yr'!D57+'Investment Income-4Yr'!D57+'All Other E&amp;G-4Yr'!D57</f>
        <v>0</v>
      </c>
      <c r="E57" s="58">
        <f>+'Tuition-4Yr'!E57+'State Appropriations-4Yr'!E57+'Local Appropriations-4Yr'!E57+'Fed Contracts Grnts-4Yr'!E57+'Other Contract Grnts-4Yr'!E57+'Investment Income-4Yr'!E57+'All Other E&amp;G-4Yr'!E57</f>
        <v>0</v>
      </c>
      <c r="F57" s="58">
        <f>+'Tuition-4Yr'!F57+'State Appropriations-4Yr'!F57+'Local Appropriations-4Yr'!F57+'Fed Contracts Grnts-4Yr'!F57+'Other Contract Grnts-4Yr'!F57+'Investment Income-4Yr'!F57+'All Other E&amp;G-4Yr'!F57</f>
        <v>0</v>
      </c>
      <c r="G57" s="58">
        <f>+'Tuition-4Yr'!G57+'State Appropriations-4Yr'!G57+'Local Appropriations-4Yr'!G57+'Fed Contracts Grnts-4Yr'!G57+'Other Contract Grnts-4Yr'!G57+'Investment Income-4Yr'!G57+'All Other E&amp;G-4Yr'!G57</f>
        <v>0</v>
      </c>
      <c r="H57" s="58">
        <f>+'Tuition-4Yr'!H57+'State Appropriations-4Yr'!H57+'Local Appropriations-4Yr'!H57+'Fed Contracts Grnts-4Yr'!H57+'Other Contract Grnts-4Yr'!H57+'Investment Income-4Yr'!H57+'All Other E&amp;G-4Yr'!H57</f>
        <v>0</v>
      </c>
      <c r="I57" s="58">
        <f>+'Tuition-4Yr'!I57+'State Appropriations-4Yr'!I57+'Local Appropriations-4Yr'!I57+'Fed Contracts Grnts-4Yr'!I57+'Other Contract Grnts-4Yr'!I57+'Investment Income-4Yr'!I57+'All Other E&amp;G-4Yr'!I57</f>
        <v>0</v>
      </c>
      <c r="J57" s="58">
        <f>+'Tuition-4Yr'!J57+'State Appropriations-4Yr'!J57+'Local Appropriations-4Yr'!J57+'Fed Contracts Grnts-4Yr'!J57+'Other Contract Grnts-4Yr'!J57+'Investment Income-4Yr'!J57+'All Other E&amp;G-4Yr'!J57</f>
        <v>240167.79499999998</v>
      </c>
      <c r="K57" s="58">
        <f>+'Tuition-4Yr'!K57+'State Appropriations-4Yr'!K57+'Local Appropriations-4Yr'!K57+'Fed Contracts Grnts-4Yr'!K57+'Other Contract Grnts-4Yr'!K57+'Investment Income-4Yr'!K57+'All Other E&amp;G-4Yr'!K57</f>
        <v>0</v>
      </c>
      <c r="L57" s="58">
        <f>+'Tuition-4Yr'!L57+'State Appropriations-4Yr'!L57+'Local Appropriations-4Yr'!L57+'Fed Contracts Grnts-4Yr'!L57+'Other Contract Grnts-4Yr'!L57+'Investment Income-4Yr'!L57+'All Other E&amp;G-4Yr'!L57</f>
        <v>0</v>
      </c>
      <c r="M57" s="58">
        <f>+'Tuition-4Yr'!M57+'State Appropriations-4Yr'!M57+'Local Appropriations-4Yr'!M57+'Fed Contracts Grnts-4Yr'!M57+'Other Contract Grnts-4Yr'!M57+'Investment Income-4Yr'!M57+'All Other E&amp;G-4Yr'!M57</f>
        <v>284653.86</v>
      </c>
      <c r="N57" s="58">
        <f>+'Tuition-4Yr'!N57+'State Appropriations-4Yr'!N57+'Local Appropriations-4Yr'!N57+'Fed Contracts Grnts-4Yr'!N57+'Other Contract Grnts-4Yr'!N57+'Investment Income-4Yr'!N57+'All Other E&amp;G-4Yr'!N57</f>
        <v>0</v>
      </c>
      <c r="O57" s="58">
        <f>+'Tuition-4Yr'!O57+'State Appropriations-4Yr'!O57+'Local Appropriations-4Yr'!O57+'Fed Contracts Grnts-4Yr'!O57+'Other Contract Grnts-4Yr'!O57+'Investment Income-4Yr'!O57+'All Other E&amp;G-4Yr'!O57</f>
        <v>306880.39600000001</v>
      </c>
      <c r="P57" s="58">
        <f>+'Tuition-4Yr'!P57+'State Appropriations-4Yr'!P57+'Local Appropriations-4Yr'!P57+'Fed Contracts Grnts-4Yr'!P57+'Other Contract Grnts-4Yr'!P57+'Investment Income-4Yr'!P57+'All Other E&amp;G-4Yr'!P57</f>
        <v>0</v>
      </c>
      <c r="Q57" s="58">
        <f>+'Tuition-4Yr'!Q57+'State Appropriations-4Yr'!Q57+'Local Appropriations-4Yr'!Q57+'Fed Contracts Grnts-4Yr'!Q57+'Other Contract Grnts-4Yr'!Q57+'Investment Income-4Yr'!Q57+'All Other E&amp;G-4Yr'!Q57</f>
        <v>0</v>
      </c>
      <c r="R57" s="58">
        <f>+'Tuition-4Yr'!R57+'State Appropriations-4Yr'!R57+'Local Appropriations-4Yr'!R57+'Fed Contracts Grnts-4Yr'!R57+'Other Contract Grnts-4Yr'!R57+'Investment Income-4Yr'!R57+'All Other E&amp;G-4Yr'!R57</f>
        <v>365453.995</v>
      </c>
      <c r="S57" s="58">
        <f>+'Tuition-4Yr'!S57+'State Appropriations-4Yr'!S57+'Local Appropriations-4Yr'!S57+'Fed Contracts Grnts-4Yr'!S57+'Other Contract Grnts-4Yr'!S57+'Investment Income-4Yr'!S57+'All Other E&amp;G-4Yr'!S57</f>
        <v>390724.39200000005</v>
      </c>
      <c r="T57" s="58">
        <f>+'Tuition-4Yr'!T57+'State Appropriations-4Yr'!T57+'Local Appropriations-4Yr'!T57+'Fed Contracts Grnts-4Yr'!T57+'Other Contract Grnts-4Yr'!T57+'Investment Income-4Yr'!T57+'All Other E&amp;G-4Yr'!T57</f>
        <v>425983.36000000004</v>
      </c>
      <c r="U57" s="58">
        <f>+'Tuition-4Yr'!U57+'State Appropriations-4Yr'!U57+'Local Appropriations-4Yr'!U57+'Fed Contracts Grnts-4Yr'!U57+'Other Contract Grnts-4Yr'!U57+'Investment Income-4Yr'!U57+'All Other E&amp;G-4Yr'!U57</f>
        <v>390678.11800000007</v>
      </c>
      <c r="V57" s="58">
        <f>+'Tuition-4Yr'!V57+'State Appropriations-4Yr'!V57+'Local Appropriations-4Yr'!V57+'Fed Contracts Grnts-4Yr'!V57+'Other Contract Grnts-4Yr'!V57+'Investment Income-4Yr'!V57+'All Other E&amp;G-4Yr'!V57</f>
        <v>417842.48700000002</v>
      </c>
      <c r="W57" s="58">
        <f>+'Tuition-4Yr'!W57+'State Appropriations-4Yr'!W57+'Local Appropriations-4Yr'!W57+'Fed Contracts Grnts-4Yr'!W57+'Other Contract Grnts-4Yr'!W57+'Investment Income-4Yr'!W57+'All Other E&amp;G-4Yr'!W57</f>
        <v>502360.86800000002</v>
      </c>
      <c r="X57" s="58">
        <f>+'Tuition-4Yr'!X57+'State Appropriations-4Yr'!X57+'Local Appropriations-4Yr'!X57+'Fed Contracts Grnts-4Yr'!X57+'Other Contract Grnts-4Yr'!X57+'Investment Income-4Yr'!X57+'All Other E&amp;G-4Yr'!X57</f>
        <v>472254.44999999995</v>
      </c>
      <c r="Y57" s="58">
        <f>+'Tuition-4Yr'!Y57+'State Appropriations-4Yr'!Y57+'Local Appropriations-4Yr'!Y57+'Fed Contracts Grnts-4Yr'!Y57+'Other Contract Grnts-4Yr'!Y57+'Investment Income-4Yr'!Y57+'All Other E&amp;G-4Yr'!Y57</f>
        <v>491574.66100000002</v>
      </c>
      <c r="Z57" s="58">
        <f>+'Tuition-4Yr'!Z57+'State Appropriations-4Yr'!Z57+'Local Appropriations-4Yr'!Z57+'Fed Contracts Grnts-4Yr'!Z57+'Other Contract Grnts-4Yr'!Z57+'Investment Income-4Yr'!Z57+'All Other E&amp;G-4Yr'!Z57</f>
        <v>511194.32</v>
      </c>
      <c r="AA57" s="58">
        <f>+'Tuition-4Yr'!AA57+'State Appropriations-4Yr'!AA57+'Local Appropriations-4Yr'!AA57+'Fed Contracts Grnts-4Yr'!AA57+'Other Contract Grnts-4Yr'!AA57+'Investment Income-4Yr'!AA57+'All Other E&amp;G-4Yr'!AA57</f>
        <v>545880.897</v>
      </c>
      <c r="AB57" s="58">
        <f>+'Tuition-4Yr'!AB57+'State Appropriations-4Yr'!AB57+'Local Appropriations-4Yr'!AB57+'Fed Contracts Grnts-4Yr'!AB57+'Other Contract Grnts-4Yr'!AB57+'Investment Income-4Yr'!AB57+'All Other E&amp;G-4Yr'!AB57</f>
        <v>648078.49200000009</v>
      </c>
      <c r="AC57" s="58">
        <f>+'Tuition-4Yr'!AC57+'State Appropriations-4Yr'!AC57+'Local Appropriations-4Yr'!AC57+'Fed Contracts Grnts-4Yr'!AC57+'Other Contract Grnts-4Yr'!AC57+'Investment Income-4Yr'!AC57+'All Other E&amp;G-4Yr'!AC57</f>
        <v>706723</v>
      </c>
      <c r="AD57" s="58">
        <f>+'Tuition-4Yr'!AD57+'State Appropriations-4Yr'!AD57+'Local Appropriations-4Yr'!AD57+'Fed Contracts Grnts-4Yr'!AD57+'Other Contract Grnts-4Yr'!AD57+'Investment Income-4Yr'!AD57+'All Other E&amp;G-4Yr'!AD57</f>
        <v>698310.54000000015</v>
      </c>
      <c r="AE57" s="58">
        <f>+'Tuition-4Yr'!AE57+'State Appropriations-4Yr'!AE57+'Local Appropriations-4Yr'!AE57+'Fed Contracts Grnts-4Yr'!AE57+'Other Contract Grnts-4Yr'!AE57+'Investment Income-4Yr'!AE57+'All Other E&amp;G-4Yr'!AE57</f>
        <v>733416.66899999999</v>
      </c>
      <c r="AF57" s="58">
        <f>+'Tuition-4Yr'!AF57+'State Appropriations-4Yr'!AF57+'Local Appropriations-4Yr'!AF57+'Fed Contracts Grnts-4Yr'!AF57+'Other Contract Grnts-4Yr'!AF57+'Investment Income-4Yr'!AF57+'All Other E&amp;G-4Yr'!AF57</f>
        <v>743173.27499999991</v>
      </c>
      <c r="AG57" s="58">
        <f>+'Tuition-4Yr'!AG57+'State Appropriations-4Yr'!AG57+'Local Appropriations-4Yr'!AG57+'Fed Contracts Grnts-4Yr'!AG57+'Other Contract Grnts-4Yr'!AG57+'Investment Income-4Yr'!AG57+'All Other E&amp;G-4Yr'!AG57</f>
        <v>764395.03</v>
      </c>
      <c r="AH57" s="58">
        <f>+'Tuition-4Yr'!AH57+'State Appropriations-4Yr'!AH57+'Local Appropriations-4Yr'!AH57+'Fed Contracts Grnts-4Yr'!AH57+'Other Contract Grnts-4Yr'!AH57+'Investment Income-4Yr'!AH57+'All Other E&amp;G-4Yr'!AH57</f>
        <v>774453.22799999989</v>
      </c>
      <c r="AI57" s="58">
        <f>+'Tuition-4Yr'!AI57+'State Appropriations-4Yr'!AI57+'Local Appropriations-4Yr'!AI57+'Fed Contracts Grnts-4Yr'!AI57+'Other Contract Grnts-4Yr'!AI57+'Investment Income-4Yr'!AI57+'All Other E&amp;G-4Yr'!AI57</f>
        <v>796885.57700000005</v>
      </c>
      <c r="AJ57" s="58">
        <f>+'Tuition-4Yr'!AJ57+'State Appropriations-4Yr'!AJ57+'Local Appropriations-4Yr'!AJ57+'Fed Contracts Grnts-4Yr'!AJ57+'Other Contract Grnts-4Yr'!AJ57+'Investment Income-4Yr'!AJ57+'All Other E&amp;G-4Yr'!AJ57</f>
        <v>0</v>
      </c>
      <c r="AK57" s="58">
        <f>+'Tuition-4Yr'!AK57+'State Appropriations-4Yr'!AK57+'Local Appropriations-4Yr'!AK57+'Fed Contracts Grnts-4Yr'!AK57+'Other Contract Grnts-4Yr'!AK57+'Investment Income-4Yr'!AK57+'All Other E&amp;G-4Yr'!AK57</f>
        <v>835751.09699999995</v>
      </c>
    </row>
    <row r="58" spans="1:37" ht="12.75" customHeight="1">
      <c r="A58" s="1" t="s">
        <v>69</v>
      </c>
      <c r="B58" s="58">
        <f>+'Tuition-4Yr'!B58+'State Appropriations-4Yr'!B58+'Local Appropriations-4Yr'!B58+'Fed Contracts Grnts-4Yr'!B58+'Other Contract Grnts-4Yr'!B58+'Investment Income-4Yr'!B58+'All Other E&amp;G-4Yr'!B58</f>
        <v>0</v>
      </c>
      <c r="C58" s="58">
        <f>+'Tuition-4Yr'!C58+'State Appropriations-4Yr'!C58+'Local Appropriations-4Yr'!C58+'Fed Contracts Grnts-4Yr'!C58+'Other Contract Grnts-4Yr'!C58+'Investment Income-4Yr'!C58+'All Other E&amp;G-4Yr'!C58</f>
        <v>0</v>
      </c>
      <c r="D58" s="58">
        <f>+'Tuition-4Yr'!D58+'State Appropriations-4Yr'!D58+'Local Appropriations-4Yr'!D58+'Fed Contracts Grnts-4Yr'!D58+'Other Contract Grnts-4Yr'!D58+'Investment Income-4Yr'!D58+'All Other E&amp;G-4Yr'!D58</f>
        <v>0</v>
      </c>
      <c r="E58" s="58">
        <f>+'Tuition-4Yr'!E58+'State Appropriations-4Yr'!E58+'Local Appropriations-4Yr'!E58+'Fed Contracts Grnts-4Yr'!E58+'Other Contract Grnts-4Yr'!E58+'Investment Income-4Yr'!E58+'All Other E&amp;G-4Yr'!E58</f>
        <v>0</v>
      </c>
      <c r="F58" s="58">
        <f>+'Tuition-4Yr'!F58+'State Appropriations-4Yr'!F58+'Local Appropriations-4Yr'!F58+'Fed Contracts Grnts-4Yr'!F58+'Other Contract Grnts-4Yr'!F58+'Investment Income-4Yr'!F58+'All Other E&amp;G-4Yr'!F58</f>
        <v>0</v>
      </c>
      <c r="G58" s="58">
        <f>+'Tuition-4Yr'!G58+'State Appropriations-4Yr'!G58+'Local Appropriations-4Yr'!G58+'Fed Contracts Grnts-4Yr'!G58+'Other Contract Grnts-4Yr'!G58+'Investment Income-4Yr'!G58+'All Other E&amp;G-4Yr'!G58</f>
        <v>0</v>
      </c>
      <c r="H58" s="58">
        <f>+'Tuition-4Yr'!H58+'State Appropriations-4Yr'!H58+'Local Appropriations-4Yr'!H58+'Fed Contracts Grnts-4Yr'!H58+'Other Contract Grnts-4Yr'!H58+'Investment Income-4Yr'!H58+'All Other E&amp;G-4Yr'!H58</f>
        <v>0</v>
      </c>
      <c r="I58" s="58">
        <f>+'Tuition-4Yr'!I58+'State Appropriations-4Yr'!I58+'Local Appropriations-4Yr'!I58+'Fed Contracts Grnts-4Yr'!I58+'Other Contract Grnts-4Yr'!I58+'Investment Income-4Yr'!I58+'All Other E&amp;G-4Yr'!I58</f>
        <v>0</v>
      </c>
      <c r="J58" s="58">
        <f>+'Tuition-4Yr'!J58+'State Appropriations-4Yr'!J58+'Local Appropriations-4Yr'!J58+'Fed Contracts Grnts-4Yr'!J58+'Other Contract Grnts-4Yr'!J58+'Investment Income-4Yr'!J58+'All Other E&amp;G-4Yr'!J58</f>
        <v>955620.54899999988</v>
      </c>
      <c r="K58" s="58">
        <f>+'Tuition-4Yr'!K58+'State Appropriations-4Yr'!K58+'Local Appropriations-4Yr'!K58+'Fed Contracts Grnts-4Yr'!K58+'Other Contract Grnts-4Yr'!K58+'Investment Income-4Yr'!K58+'All Other E&amp;G-4Yr'!K58</f>
        <v>0</v>
      </c>
      <c r="L58" s="58">
        <f>+'Tuition-4Yr'!L58+'State Appropriations-4Yr'!L58+'Local Appropriations-4Yr'!L58+'Fed Contracts Grnts-4Yr'!L58+'Other Contract Grnts-4Yr'!L58+'Investment Income-4Yr'!L58+'All Other E&amp;G-4Yr'!L58</f>
        <v>0</v>
      </c>
      <c r="M58" s="58">
        <f>+'Tuition-4Yr'!M58+'State Appropriations-4Yr'!M58+'Local Appropriations-4Yr'!M58+'Fed Contracts Grnts-4Yr'!M58+'Other Contract Grnts-4Yr'!M58+'Investment Income-4Yr'!M58+'All Other E&amp;G-4Yr'!M58</f>
        <v>1142867.307</v>
      </c>
      <c r="N58" s="58">
        <f>+'Tuition-4Yr'!N58+'State Appropriations-4Yr'!N58+'Local Appropriations-4Yr'!N58+'Fed Contracts Grnts-4Yr'!N58+'Other Contract Grnts-4Yr'!N58+'Investment Income-4Yr'!N58+'All Other E&amp;G-4Yr'!N58</f>
        <v>0</v>
      </c>
      <c r="O58" s="58">
        <f>+'Tuition-4Yr'!O58+'State Appropriations-4Yr'!O58+'Local Appropriations-4Yr'!O58+'Fed Contracts Grnts-4Yr'!O58+'Other Contract Grnts-4Yr'!O58+'Investment Income-4Yr'!O58+'All Other E&amp;G-4Yr'!O58</f>
        <v>2132895.4810000001</v>
      </c>
      <c r="P58" s="58">
        <f>+'Tuition-4Yr'!P58+'State Appropriations-4Yr'!P58+'Local Appropriations-4Yr'!P58+'Fed Contracts Grnts-4Yr'!P58+'Other Contract Grnts-4Yr'!P58+'Investment Income-4Yr'!P58+'All Other E&amp;G-4Yr'!P58</f>
        <v>0</v>
      </c>
      <c r="Q58" s="58">
        <f>+'Tuition-4Yr'!Q58+'State Appropriations-4Yr'!Q58+'Local Appropriations-4Yr'!Q58+'Fed Contracts Grnts-4Yr'!Q58+'Other Contract Grnts-4Yr'!Q58+'Investment Income-4Yr'!Q58+'All Other E&amp;G-4Yr'!Q58</f>
        <v>0</v>
      </c>
      <c r="R58" s="58">
        <f>+'Tuition-4Yr'!R58+'State Appropriations-4Yr'!R58+'Local Appropriations-4Yr'!R58+'Fed Contracts Grnts-4Yr'!R58+'Other Contract Grnts-4Yr'!R58+'Investment Income-4Yr'!R58+'All Other E&amp;G-4Yr'!R58</f>
        <v>1529728.078</v>
      </c>
      <c r="S58" s="58">
        <f>+'Tuition-4Yr'!S58+'State Appropriations-4Yr'!S58+'Local Appropriations-4Yr'!S58+'Fed Contracts Grnts-4Yr'!S58+'Other Contract Grnts-4Yr'!S58+'Investment Income-4Yr'!S58+'All Other E&amp;G-4Yr'!S58</f>
        <v>1672962.875</v>
      </c>
      <c r="T58" s="58">
        <f>+'Tuition-4Yr'!T58+'State Appropriations-4Yr'!T58+'Local Appropriations-4Yr'!T58+'Fed Contracts Grnts-4Yr'!T58+'Other Contract Grnts-4Yr'!T58+'Investment Income-4Yr'!T58+'All Other E&amp;G-4Yr'!T58</f>
        <v>1841040.9380000001</v>
      </c>
      <c r="U58" s="58">
        <f>+'Tuition-4Yr'!U58+'State Appropriations-4Yr'!U58+'Local Appropriations-4Yr'!U58+'Fed Contracts Grnts-4Yr'!U58+'Other Contract Grnts-4Yr'!U58+'Investment Income-4Yr'!U58+'All Other E&amp;G-4Yr'!U58</f>
        <v>1925454.236</v>
      </c>
      <c r="V58" s="58">
        <f>+'Tuition-4Yr'!V58+'State Appropriations-4Yr'!V58+'Local Appropriations-4Yr'!V58+'Fed Contracts Grnts-4Yr'!V58+'Other Contract Grnts-4Yr'!V58+'Investment Income-4Yr'!V58+'All Other E&amp;G-4Yr'!V58</f>
        <v>2025244.3529999999</v>
      </c>
      <c r="W58" s="58">
        <f>+'Tuition-4Yr'!W58+'State Appropriations-4Yr'!W58+'Local Appropriations-4Yr'!W58+'Fed Contracts Grnts-4Yr'!W58+'Other Contract Grnts-4Yr'!W58+'Investment Income-4Yr'!W58+'All Other E&amp;G-4Yr'!W58</f>
        <v>3672767.3819999998</v>
      </c>
      <c r="X58" s="58">
        <f>+'Tuition-4Yr'!X58+'State Appropriations-4Yr'!X58+'Local Appropriations-4Yr'!X58+'Fed Contracts Grnts-4Yr'!X58+'Other Contract Grnts-4Yr'!X58+'Investment Income-4Yr'!X58+'All Other E&amp;G-4Yr'!X58</f>
        <v>3576995.7319999998</v>
      </c>
      <c r="Y58" s="58">
        <f>+'Tuition-4Yr'!Y58+'State Appropriations-4Yr'!Y58+'Local Appropriations-4Yr'!Y58+'Fed Contracts Grnts-4Yr'!Y58+'Other Contract Grnts-4Yr'!Y58+'Investment Income-4Yr'!Y58+'All Other E&amp;G-4Yr'!Y58</f>
        <v>3774985.9860000005</v>
      </c>
      <c r="Z58" s="58">
        <f>+'Tuition-4Yr'!Z58+'State Appropriations-4Yr'!Z58+'Local Appropriations-4Yr'!Z58+'Fed Contracts Grnts-4Yr'!Z58+'Other Contract Grnts-4Yr'!Z58+'Investment Income-4Yr'!Z58+'All Other E&amp;G-4Yr'!Z58</f>
        <v>3905619.8189999997</v>
      </c>
      <c r="AA58" s="58">
        <f>+'Tuition-4Yr'!AA58+'State Appropriations-4Yr'!AA58+'Local Appropriations-4Yr'!AA58+'Fed Contracts Grnts-4Yr'!AA58+'Other Contract Grnts-4Yr'!AA58+'Investment Income-4Yr'!AA58+'All Other E&amp;G-4Yr'!AA58</f>
        <v>3442061.091</v>
      </c>
      <c r="AB58" s="58">
        <f>+'Tuition-4Yr'!AB58+'State Appropriations-4Yr'!AB58+'Local Appropriations-4Yr'!AB58+'Fed Contracts Grnts-4Yr'!AB58+'Other Contract Grnts-4Yr'!AB58+'Investment Income-4Yr'!AB58+'All Other E&amp;G-4Yr'!AB58</f>
        <v>4632658.7720000008</v>
      </c>
      <c r="AC58" s="58">
        <f>+'Tuition-4Yr'!AC58+'State Appropriations-4Yr'!AC58+'Local Appropriations-4Yr'!AC58+'Fed Contracts Grnts-4Yr'!AC58+'Other Contract Grnts-4Yr'!AC58+'Investment Income-4Yr'!AC58+'All Other E&amp;G-4Yr'!AC58</f>
        <v>4808381</v>
      </c>
      <c r="AD58" s="58">
        <f>+'Tuition-4Yr'!AD58+'State Appropriations-4Yr'!AD58+'Local Appropriations-4Yr'!AD58+'Fed Contracts Grnts-4Yr'!AD58+'Other Contract Grnts-4Yr'!AD58+'Investment Income-4Yr'!AD58+'All Other E&amp;G-4Yr'!AD58</f>
        <v>4852708.2209999999</v>
      </c>
      <c r="AE58" s="58">
        <f>+'Tuition-4Yr'!AE58+'State Appropriations-4Yr'!AE58+'Local Appropriations-4Yr'!AE58+'Fed Contracts Grnts-4Yr'!AE58+'Other Contract Grnts-4Yr'!AE58+'Investment Income-4Yr'!AE58+'All Other E&amp;G-4Yr'!AE58</f>
        <v>4160755.1100000003</v>
      </c>
      <c r="AF58" s="58">
        <f>+'Tuition-4Yr'!AF58+'State Appropriations-4Yr'!AF58+'Local Appropriations-4Yr'!AF58+'Fed Contracts Grnts-4Yr'!AF58+'Other Contract Grnts-4Yr'!AF58+'Investment Income-4Yr'!AF58+'All Other E&amp;G-4Yr'!AF58</f>
        <v>5285148.9959999993</v>
      </c>
      <c r="AG58" s="58">
        <f>+'Tuition-4Yr'!AG58+'State Appropriations-4Yr'!AG58+'Local Appropriations-4Yr'!AG58+'Fed Contracts Grnts-4Yr'!AG58+'Other Contract Grnts-4Yr'!AG58+'Investment Income-4Yr'!AG58+'All Other E&amp;G-4Yr'!AG58</f>
        <v>5341558.57</v>
      </c>
      <c r="AH58" s="58">
        <f>+'Tuition-4Yr'!AH58+'State Appropriations-4Yr'!AH58+'Local Appropriations-4Yr'!AH58+'Fed Contracts Grnts-4Yr'!AH58+'Other Contract Grnts-4Yr'!AH58+'Investment Income-4Yr'!AH58+'All Other E&amp;G-4Yr'!AH58</f>
        <v>5475120.9379999992</v>
      </c>
      <c r="AI58" s="58">
        <f>+'Tuition-4Yr'!AI58+'State Appropriations-4Yr'!AI58+'Local Appropriations-4Yr'!AI58+'Fed Contracts Grnts-4Yr'!AI58+'Other Contract Grnts-4Yr'!AI58+'Investment Income-4Yr'!AI58+'All Other E&amp;G-4Yr'!AI58</f>
        <v>5798281.2549999999</v>
      </c>
      <c r="AJ58" s="58">
        <f>+'Tuition-4Yr'!AJ58+'State Appropriations-4Yr'!AJ58+'Local Appropriations-4Yr'!AJ58+'Fed Contracts Grnts-4Yr'!AJ58+'Other Contract Grnts-4Yr'!AJ58+'Investment Income-4Yr'!AJ58+'All Other E&amp;G-4Yr'!AJ58</f>
        <v>0</v>
      </c>
      <c r="AK58" s="58">
        <f>+'Tuition-4Yr'!AK58+'State Appropriations-4Yr'!AK58+'Local Appropriations-4Yr'!AK58+'Fed Contracts Grnts-4Yr'!AK58+'Other Contract Grnts-4Yr'!AK58+'Investment Income-4Yr'!AK58+'All Other E&amp;G-4Yr'!AK58</f>
        <v>6825287.2460000003</v>
      </c>
    </row>
    <row r="59" spans="1:37" ht="12.75" customHeight="1">
      <c r="A59" s="1" t="s">
        <v>70</v>
      </c>
      <c r="B59" s="58">
        <f>+'Tuition-4Yr'!B59+'State Appropriations-4Yr'!B59+'Local Appropriations-4Yr'!B59+'Fed Contracts Grnts-4Yr'!B59+'Other Contract Grnts-4Yr'!B59+'Investment Income-4Yr'!B59+'All Other E&amp;G-4Yr'!B59</f>
        <v>0</v>
      </c>
      <c r="C59" s="58">
        <f>+'Tuition-4Yr'!C59+'State Appropriations-4Yr'!C59+'Local Appropriations-4Yr'!C59+'Fed Contracts Grnts-4Yr'!C59+'Other Contract Grnts-4Yr'!C59+'Investment Income-4Yr'!C59+'All Other E&amp;G-4Yr'!C59</f>
        <v>0</v>
      </c>
      <c r="D59" s="58">
        <f>+'Tuition-4Yr'!D59+'State Appropriations-4Yr'!D59+'Local Appropriations-4Yr'!D59+'Fed Contracts Grnts-4Yr'!D59+'Other Contract Grnts-4Yr'!D59+'Investment Income-4Yr'!D59+'All Other E&amp;G-4Yr'!D59</f>
        <v>0</v>
      </c>
      <c r="E59" s="58">
        <f>+'Tuition-4Yr'!E59+'State Appropriations-4Yr'!E59+'Local Appropriations-4Yr'!E59+'Fed Contracts Grnts-4Yr'!E59+'Other Contract Grnts-4Yr'!E59+'Investment Income-4Yr'!E59+'All Other E&amp;G-4Yr'!E59</f>
        <v>0</v>
      </c>
      <c r="F59" s="58">
        <f>+'Tuition-4Yr'!F59+'State Appropriations-4Yr'!F59+'Local Appropriations-4Yr'!F59+'Fed Contracts Grnts-4Yr'!F59+'Other Contract Grnts-4Yr'!F59+'Investment Income-4Yr'!F59+'All Other E&amp;G-4Yr'!F59</f>
        <v>0</v>
      </c>
      <c r="G59" s="58">
        <f>+'Tuition-4Yr'!G59+'State Appropriations-4Yr'!G59+'Local Appropriations-4Yr'!G59+'Fed Contracts Grnts-4Yr'!G59+'Other Contract Grnts-4Yr'!G59+'Investment Income-4Yr'!G59+'All Other E&amp;G-4Yr'!G59</f>
        <v>0</v>
      </c>
      <c r="H59" s="58">
        <f>+'Tuition-4Yr'!H59+'State Appropriations-4Yr'!H59+'Local Appropriations-4Yr'!H59+'Fed Contracts Grnts-4Yr'!H59+'Other Contract Grnts-4Yr'!H59+'Investment Income-4Yr'!H59+'All Other E&amp;G-4Yr'!H59</f>
        <v>0</v>
      </c>
      <c r="I59" s="58">
        <f>+'Tuition-4Yr'!I59+'State Appropriations-4Yr'!I59+'Local Appropriations-4Yr'!I59+'Fed Contracts Grnts-4Yr'!I59+'Other Contract Grnts-4Yr'!I59+'Investment Income-4Yr'!I59+'All Other E&amp;G-4Yr'!I59</f>
        <v>0</v>
      </c>
      <c r="J59" s="58">
        <f>+'Tuition-4Yr'!J59+'State Appropriations-4Yr'!J59+'Local Appropriations-4Yr'!J59+'Fed Contracts Grnts-4Yr'!J59+'Other Contract Grnts-4Yr'!J59+'Investment Income-4Yr'!J59+'All Other E&amp;G-4Yr'!J59</f>
        <v>3424354.5980000002</v>
      </c>
      <c r="K59" s="58">
        <f>+'Tuition-4Yr'!K59+'State Appropriations-4Yr'!K59+'Local Appropriations-4Yr'!K59+'Fed Contracts Grnts-4Yr'!K59+'Other Contract Grnts-4Yr'!K59+'Investment Income-4Yr'!K59+'All Other E&amp;G-4Yr'!K59</f>
        <v>0</v>
      </c>
      <c r="L59" s="58">
        <f>+'Tuition-4Yr'!L59+'State Appropriations-4Yr'!L59+'Local Appropriations-4Yr'!L59+'Fed Contracts Grnts-4Yr'!L59+'Other Contract Grnts-4Yr'!L59+'Investment Income-4Yr'!L59+'All Other E&amp;G-4Yr'!L59</f>
        <v>0</v>
      </c>
      <c r="M59" s="58">
        <f>+'Tuition-4Yr'!M59+'State Appropriations-4Yr'!M59+'Local Appropriations-4Yr'!M59+'Fed Contracts Grnts-4Yr'!M59+'Other Contract Grnts-4Yr'!M59+'Investment Income-4Yr'!M59+'All Other E&amp;G-4Yr'!M59</f>
        <v>4046025.878</v>
      </c>
      <c r="N59" s="58">
        <f>+'Tuition-4Yr'!N59+'State Appropriations-4Yr'!N59+'Local Appropriations-4Yr'!N59+'Fed Contracts Grnts-4Yr'!N59+'Other Contract Grnts-4Yr'!N59+'Investment Income-4Yr'!N59+'All Other E&amp;G-4Yr'!N59</f>
        <v>0</v>
      </c>
      <c r="O59" s="58">
        <f>+'Tuition-4Yr'!O59+'State Appropriations-4Yr'!O59+'Local Appropriations-4Yr'!O59+'Fed Contracts Grnts-4Yr'!O59+'Other Contract Grnts-4Yr'!O59+'Investment Income-4Yr'!O59+'All Other E&amp;G-4Yr'!O59</f>
        <v>4445275.9019999998</v>
      </c>
      <c r="P59" s="58">
        <f>+'Tuition-4Yr'!P59+'State Appropriations-4Yr'!P59+'Local Appropriations-4Yr'!P59+'Fed Contracts Grnts-4Yr'!P59+'Other Contract Grnts-4Yr'!P59+'Investment Income-4Yr'!P59+'All Other E&amp;G-4Yr'!P59</f>
        <v>0</v>
      </c>
      <c r="Q59" s="58">
        <f>+'Tuition-4Yr'!Q59+'State Appropriations-4Yr'!Q59+'Local Appropriations-4Yr'!Q59+'Fed Contracts Grnts-4Yr'!Q59+'Other Contract Grnts-4Yr'!Q59+'Investment Income-4Yr'!Q59+'All Other E&amp;G-4Yr'!Q59</f>
        <v>0</v>
      </c>
      <c r="R59" s="58">
        <f>+'Tuition-4Yr'!R59+'State Appropriations-4Yr'!R59+'Local Appropriations-4Yr'!R59+'Fed Contracts Grnts-4Yr'!R59+'Other Contract Grnts-4Yr'!R59+'Investment Income-4Yr'!R59+'All Other E&amp;G-4Yr'!R59</f>
        <v>4637168.9810000006</v>
      </c>
      <c r="S59" s="58">
        <f>+'Tuition-4Yr'!S59+'State Appropriations-4Yr'!S59+'Local Appropriations-4Yr'!S59+'Fed Contracts Grnts-4Yr'!S59+'Other Contract Grnts-4Yr'!S59+'Investment Income-4Yr'!S59+'All Other E&amp;G-4Yr'!S59</f>
        <v>5045183.6269999985</v>
      </c>
      <c r="T59" s="58">
        <f>+'Tuition-4Yr'!T59+'State Appropriations-4Yr'!T59+'Local Appropriations-4Yr'!T59+'Fed Contracts Grnts-4Yr'!T59+'Other Contract Grnts-4Yr'!T59+'Investment Income-4Yr'!T59+'All Other E&amp;G-4Yr'!T59</f>
        <v>5631450.4109999994</v>
      </c>
      <c r="U59" s="58">
        <f>+'Tuition-4Yr'!U59+'State Appropriations-4Yr'!U59+'Local Appropriations-4Yr'!U59+'Fed Contracts Grnts-4Yr'!U59+'Other Contract Grnts-4Yr'!U59+'Investment Income-4Yr'!U59+'All Other E&amp;G-4Yr'!U59</f>
        <v>4719436.2799999993</v>
      </c>
      <c r="V59" s="58">
        <f>+'Tuition-4Yr'!V59+'State Appropriations-4Yr'!V59+'Local Appropriations-4Yr'!V59+'Fed Contracts Grnts-4Yr'!V59+'Other Contract Grnts-4Yr'!V59+'Investment Income-4Yr'!V59+'All Other E&amp;G-4Yr'!V59</f>
        <v>5305699.0690000001</v>
      </c>
      <c r="W59" s="58">
        <f>+'Tuition-4Yr'!W59+'State Appropriations-4Yr'!W59+'Local Appropriations-4Yr'!W59+'Fed Contracts Grnts-4Yr'!W59+'Other Contract Grnts-4Yr'!W59+'Investment Income-4Yr'!W59+'All Other E&amp;G-4Yr'!W59</f>
        <v>6472569.279000001</v>
      </c>
      <c r="X59" s="58">
        <f>+'Tuition-4Yr'!X59+'State Appropriations-4Yr'!X59+'Local Appropriations-4Yr'!X59+'Fed Contracts Grnts-4Yr'!X59+'Other Contract Grnts-4Yr'!X59+'Investment Income-4Yr'!X59+'All Other E&amp;G-4Yr'!X59</f>
        <v>5952725.9369999999</v>
      </c>
      <c r="Y59" s="58">
        <f>+'Tuition-4Yr'!Y59+'State Appropriations-4Yr'!Y59+'Local Appropriations-4Yr'!Y59+'Fed Contracts Grnts-4Yr'!Y59+'Other Contract Grnts-4Yr'!Y59+'Investment Income-4Yr'!Y59+'All Other E&amp;G-4Yr'!Y59</f>
        <v>6631002.8810000001</v>
      </c>
      <c r="Z59" s="58">
        <f>+'Tuition-4Yr'!Z59+'State Appropriations-4Yr'!Z59+'Local Appropriations-4Yr'!Z59+'Fed Contracts Grnts-4Yr'!Z59+'Other Contract Grnts-4Yr'!Z59+'Investment Income-4Yr'!Z59+'All Other E&amp;G-4Yr'!Z59</f>
        <v>6821026.2120000003</v>
      </c>
      <c r="AA59" s="58">
        <f>+'Tuition-4Yr'!AA59+'State Appropriations-4Yr'!AA59+'Local Appropriations-4Yr'!AA59+'Fed Contracts Grnts-4Yr'!AA59+'Other Contract Grnts-4Yr'!AA59+'Investment Income-4Yr'!AA59+'All Other E&amp;G-4Yr'!AA59</f>
        <v>6951472.3439999996</v>
      </c>
      <c r="AB59" s="58">
        <f>+'Tuition-4Yr'!AB59+'State Appropriations-4Yr'!AB59+'Local Appropriations-4Yr'!AB59+'Fed Contracts Grnts-4Yr'!AB59+'Other Contract Grnts-4Yr'!AB59+'Investment Income-4Yr'!AB59+'All Other E&amp;G-4Yr'!AB59</f>
        <v>8305115.1559999995</v>
      </c>
      <c r="AC59" s="58">
        <f>+'Tuition-4Yr'!AC59+'State Appropriations-4Yr'!AC59+'Local Appropriations-4Yr'!AC59+'Fed Contracts Grnts-4Yr'!AC59+'Other Contract Grnts-4Yr'!AC59+'Investment Income-4Yr'!AC59+'All Other E&amp;G-4Yr'!AC59</f>
        <v>8615342</v>
      </c>
      <c r="AD59" s="58">
        <f>+'Tuition-4Yr'!AD59+'State Appropriations-4Yr'!AD59+'Local Appropriations-4Yr'!AD59+'Fed Contracts Grnts-4Yr'!AD59+'Other Contract Grnts-4Yr'!AD59+'Investment Income-4Yr'!AD59+'All Other E&amp;G-4Yr'!AD59</f>
        <v>8651740.0600000005</v>
      </c>
      <c r="AE59" s="58">
        <f>+'Tuition-4Yr'!AE59+'State Appropriations-4Yr'!AE59+'Local Appropriations-4Yr'!AE59+'Fed Contracts Grnts-4Yr'!AE59+'Other Contract Grnts-4Yr'!AE59+'Investment Income-4Yr'!AE59+'All Other E&amp;G-4Yr'!AE59</f>
        <v>8138122.9449999994</v>
      </c>
      <c r="AF59" s="58">
        <f>+'Tuition-4Yr'!AF59+'State Appropriations-4Yr'!AF59+'Local Appropriations-4Yr'!AF59+'Fed Contracts Grnts-4Yr'!AF59+'Other Contract Grnts-4Yr'!AF59+'Investment Income-4Yr'!AF59+'All Other E&amp;G-4Yr'!AF59</f>
        <v>8679894.7430000026</v>
      </c>
      <c r="AG59" s="58">
        <f>+'Tuition-4Yr'!AG59+'State Appropriations-4Yr'!AG59+'Local Appropriations-4Yr'!AG59+'Fed Contracts Grnts-4Yr'!AG59+'Other Contract Grnts-4Yr'!AG59+'Investment Income-4Yr'!AG59+'All Other E&amp;G-4Yr'!AG59</f>
        <v>9034387.5360000003</v>
      </c>
      <c r="AH59" s="58">
        <f>+'Tuition-4Yr'!AH59+'State Appropriations-4Yr'!AH59+'Local Appropriations-4Yr'!AH59+'Fed Contracts Grnts-4Yr'!AH59+'Other Contract Grnts-4Yr'!AH59+'Investment Income-4Yr'!AH59+'All Other E&amp;G-4Yr'!AH59</f>
        <v>10314162.576000001</v>
      </c>
      <c r="AI59" s="58">
        <f>+'Tuition-4Yr'!AI59+'State Appropriations-4Yr'!AI59+'Local Appropriations-4Yr'!AI59+'Fed Contracts Grnts-4Yr'!AI59+'Other Contract Grnts-4Yr'!AI59+'Investment Income-4Yr'!AI59+'All Other E&amp;G-4Yr'!AI59</f>
        <v>10428884.722999999</v>
      </c>
      <c r="AJ59" s="58">
        <f>+'Tuition-4Yr'!AJ59+'State Appropriations-4Yr'!AJ59+'Local Appropriations-4Yr'!AJ59+'Fed Contracts Grnts-4Yr'!AJ59+'Other Contract Grnts-4Yr'!AJ59+'Investment Income-4Yr'!AJ59+'All Other E&amp;G-4Yr'!AJ59</f>
        <v>0</v>
      </c>
      <c r="AK59" s="58">
        <f>+'Tuition-4Yr'!AK59+'State Appropriations-4Yr'!AK59+'Local Appropriations-4Yr'!AK59+'Fed Contracts Grnts-4Yr'!AK59+'Other Contract Grnts-4Yr'!AK59+'Investment Income-4Yr'!AK59+'All Other E&amp;G-4Yr'!AK59</f>
        <v>12110143.43</v>
      </c>
    </row>
    <row r="60" spans="1:37" ht="12.75" customHeight="1">
      <c r="A60" s="1" t="s">
        <v>71</v>
      </c>
      <c r="B60" s="58">
        <f>+'Tuition-4Yr'!B60+'State Appropriations-4Yr'!B60+'Local Appropriations-4Yr'!B60+'Fed Contracts Grnts-4Yr'!B60+'Other Contract Grnts-4Yr'!B60+'Investment Income-4Yr'!B60+'All Other E&amp;G-4Yr'!B60</f>
        <v>0</v>
      </c>
      <c r="C60" s="58">
        <f>+'Tuition-4Yr'!C60+'State Appropriations-4Yr'!C60+'Local Appropriations-4Yr'!C60+'Fed Contracts Grnts-4Yr'!C60+'Other Contract Grnts-4Yr'!C60+'Investment Income-4Yr'!C60+'All Other E&amp;G-4Yr'!C60</f>
        <v>0</v>
      </c>
      <c r="D60" s="58">
        <f>+'Tuition-4Yr'!D60+'State Appropriations-4Yr'!D60+'Local Appropriations-4Yr'!D60+'Fed Contracts Grnts-4Yr'!D60+'Other Contract Grnts-4Yr'!D60+'Investment Income-4Yr'!D60+'All Other E&amp;G-4Yr'!D60</f>
        <v>0</v>
      </c>
      <c r="E60" s="58">
        <f>+'Tuition-4Yr'!E60+'State Appropriations-4Yr'!E60+'Local Appropriations-4Yr'!E60+'Fed Contracts Grnts-4Yr'!E60+'Other Contract Grnts-4Yr'!E60+'Investment Income-4Yr'!E60+'All Other E&amp;G-4Yr'!E60</f>
        <v>0</v>
      </c>
      <c r="F60" s="58">
        <f>+'Tuition-4Yr'!F60+'State Appropriations-4Yr'!F60+'Local Appropriations-4Yr'!F60+'Fed Contracts Grnts-4Yr'!F60+'Other Contract Grnts-4Yr'!F60+'Investment Income-4Yr'!F60+'All Other E&amp;G-4Yr'!F60</f>
        <v>0</v>
      </c>
      <c r="G60" s="58">
        <f>+'Tuition-4Yr'!G60+'State Appropriations-4Yr'!G60+'Local Appropriations-4Yr'!G60+'Fed Contracts Grnts-4Yr'!G60+'Other Contract Grnts-4Yr'!G60+'Investment Income-4Yr'!G60+'All Other E&amp;G-4Yr'!G60</f>
        <v>0</v>
      </c>
      <c r="H60" s="58">
        <f>+'Tuition-4Yr'!H60+'State Appropriations-4Yr'!H60+'Local Appropriations-4Yr'!H60+'Fed Contracts Grnts-4Yr'!H60+'Other Contract Grnts-4Yr'!H60+'Investment Income-4Yr'!H60+'All Other E&amp;G-4Yr'!H60</f>
        <v>0</v>
      </c>
      <c r="I60" s="58">
        <f>+'Tuition-4Yr'!I60+'State Appropriations-4Yr'!I60+'Local Appropriations-4Yr'!I60+'Fed Contracts Grnts-4Yr'!I60+'Other Contract Grnts-4Yr'!I60+'Investment Income-4Yr'!I60+'All Other E&amp;G-4Yr'!I60</f>
        <v>0</v>
      </c>
      <c r="J60" s="58">
        <f>+'Tuition-4Yr'!J60+'State Appropriations-4Yr'!J60+'Local Appropriations-4Yr'!J60+'Fed Contracts Grnts-4Yr'!J60+'Other Contract Grnts-4Yr'!J60+'Investment Income-4Yr'!J60+'All Other E&amp;G-4Yr'!J60</f>
        <v>2789097.7979999995</v>
      </c>
      <c r="K60" s="58">
        <f>+'Tuition-4Yr'!K60+'State Appropriations-4Yr'!K60+'Local Appropriations-4Yr'!K60+'Fed Contracts Grnts-4Yr'!K60+'Other Contract Grnts-4Yr'!K60+'Investment Income-4Yr'!K60+'All Other E&amp;G-4Yr'!K60</f>
        <v>0</v>
      </c>
      <c r="L60" s="58">
        <f>+'Tuition-4Yr'!L60+'State Appropriations-4Yr'!L60+'Local Appropriations-4Yr'!L60+'Fed Contracts Grnts-4Yr'!L60+'Other Contract Grnts-4Yr'!L60+'Investment Income-4Yr'!L60+'All Other E&amp;G-4Yr'!L60</f>
        <v>0</v>
      </c>
      <c r="M60" s="58">
        <f>+'Tuition-4Yr'!M60+'State Appropriations-4Yr'!M60+'Local Appropriations-4Yr'!M60+'Fed Contracts Grnts-4Yr'!M60+'Other Contract Grnts-4Yr'!M60+'Investment Income-4Yr'!M60+'All Other E&amp;G-4Yr'!M60</f>
        <v>3175136.9160000002</v>
      </c>
      <c r="N60" s="58">
        <f>+'Tuition-4Yr'!N60+'State Appropriations-4Yr'!N60+'Local Appropriations-4Yr'!N60+'Fed Contracts Grnts-4Yr'!N60+'Other Contract Grnts-4Yr'!N60+'Investment Income-4Yr'!N60+'All Other E&amp;G-4Yr'!N60</f>
        <v>0</v>
      </c>
      <c r="O60" s="58">
        <f>+'Tuition-4Yr'!O60+'State Appropriations-4Yr'!O60+'Local Appropriations-4Yr'!O60+'Fed Contracts Grnts-4Yr'!O60+'Other Contract Grnts-4Yr'!O60+'Investment Income-4Yr'!O60+'All Other E&amp;G-4Yr'!O60</f>
        <v>3468226.8710000003</v>
      </c>
      <c r="P60" s="58">
        <f>+'Tuition-4Yr'!P60+'State Appropriations-4Yr'!P60+'Local Appropriations-4Yr'!P60+'Fed Contracts Grnts-4Yr'!P60+'Other Contract Grnts-4Yr'!P60+'Investment Income-4Yr'!P60+'All Other E&amp;G-4Yr'!P60</f>
        <v>0</v>
      </c>
      <c r="Q60" s="58">
        <f>+'Tuition-4Yr'!Q60+'State Appropriations-4Yr'!Q60+'Local Appropriations-4Yr'!Q60+'Fed Contracts Grnts-4Yr'!Q60+'Other Contract Grnts-4Yr'!Q60+'Investment Income-4Yr'!Q60+'All Other E&amp;G-4Yr'!Q60</f>
        <v>0</v>
      </c>
      <c r="R60" s="58">
        <f>+'Tuition-4Yr'!R60+'State Appropriations-4Yr'!R60+'Local Appropriations-4Yr'!R60+'Fed Contracts Grnts-4Yr'!R60+'Other Contract Grnts-4Yr'!R60+'Investment Income-4Yr'!R60+'All Other E&amp;G-4Yr'!R60</f>
        <v>4102524.99</v>
      </c>
      <c r="S60" s="58">
        <f>+'Tuition-4Yr'!S60+'State Appropriations-4Yr'!S60+'Local Appropriations-4Yr'!S60+'Fed Contracts Grnts-4Yr'!S60+'Other Contract Grnts-4Yr'!S60+'Investment Income-4Yr'!S60+'All Other E&amp;G-4Yr'!S60</f>
        <v>3744843.682</v>
      </c>
      <c r="T60" s="58">
        <f>+'Tuition-4Yr'!T60+'State Appropriations-4Yr'!T60+'Local Appropriations-4Yr'!T60+'Fed Contracts Grnts-4Yr'!T60+'Other Contract Grnts-4Yr'!T60+'Investment Income-4Yr'!T60+'All Other E&amp;G-4Yr'!T60</f>
        <v>2362760.5480000004</v>
      </c>
      <c r="U60" s="58">
        <f>+'Tuition-4Yr'!U60+'State Appropriations-4Yr'!U60+'Local Appropriations-4Yr'!U60+'Fed Contracts Grnts-4Yr'!U60+'Other Contract Grnts-4Yr'!U60+'Investment Income-4Yr'!U60+'All Other E&amp;G-4Yr'!U60</f>
        <v>1191558.6810000003</v>
      </c>
      <c r="V60" s="58">
        <f>+'Tuition-4Yr'!V60+'State Appropriations-4Yr'!V60+'Local Appropriations-4Yr'!V60+'Fed Contracts Grnts-4Yr'!V60+'Other Contract Grnts-4Yr'!V60+'Investment Income-4Yr'!V60+'All Other E&amp;G-4Yr'!V60</f>
        <v>1211848.6480000003</v>
      </c>
      <c r="W60" s="58">
        <f>+'Tuition-4Yr'!W60+'State Appropriations-4Yr'!W60+'Local Appropriations-4Yr'!W60+'Fed Contracts Grnts-4Yr'!W60+'Other Contract Grnts-4Yr'!W60+'Investment Income-4Yr'!W60+'All Other E&amp;G-4Yr'!W60</f>
        <v>1376732.635</v>
      </c>
      <c r="X60" s="58">
        <f>+'Tuition-4Yr'!X60+'State Appropriations-4Yr'!X60+'Local Appropriations-4Yr'!X60+'Fed Contracts Grnts-4Yr'!X60+'Other Contract Grnts-4Yr'!X60+'Investment Income-4Yr'!X60+'All Other E&amp;G-4Yr'!X60</f>
        <v>1308688.399</v>
      </c>
      <c r="Y60" s="58">
        <f>+'Tuition-4Yr'!Y60+'State Appropriations-4Yr'!Y60+'Local Appropriations-4Yr'!Y60+'Fed Contracts Grnts-4Yr'!Y60+'Other Contract Grnts-4Yr'!Y60+'Investment Income-4Yr'!Y60+'All Other E&amp;G-4Yr'!Y60</f>
        <v>1382597.3130000001</v>
      </c>
      <c r="Z60" s="58">
        <f>+'Tuition-4Yr'!Z60+'State Appropriations-4Yr'!Z60+'Local Appropriations-4Yr'!Z60+'Fed Contracts Grnts-4Yr'!Z60+'Other Contract Grnts-4Yr'!Z60+'Investment Income-4Yr'!Z60+'All Other E&amp;G-4Yr'!Z60</f>
        <v>1429448.4470000002</v>
      </c>
      <c r="AA60" s="58">
        <f>+'Tuition-4Yr'!AA60+'State Appropriations-4Yr'!AA60+'Local Appropriations-4Yr'!AA60+'Fed Contracts Grnts-4Yr'!AA60+'Other Contract Grnts-4Yr'!AA60+'Investment Income-4Yr'!AA60+'All Other E&amp;G-4Yr'!AA60</f>
        <v>1603687.41</v>
      </c>
      <c r="AB60" s="58">
        <f>+'Tuition-4Yr'!AB60+'State Appropriations-4Yr'!AB60+'Local Appropriations-4Yr'!AB60+'Fed Contracts Grnts-4Yr'!AB60+'Other Contract Grnts-4Yr'!AB60+'Investment Income-4Yr'!AB60+'All Other E&amp;G-4Yr'!AB60</f>
        <v>1756600.929</v>
      </c>
      <c r="AC60" s="58">
        <f>+'Tuition-4Yr'!AC60+'State Appropriations-4Yr'!AC60+'Local Appropriations-4Yr'!AC60+'Fed Contracts Grnts-4Yr'!AC60+'Other Contract Grnts-4Yr'!AC60+'Investment Income-4Yr'!AC60+'All Other E&amp;G-4Yr'!AC60</f>
        <v>1815712</v>
      </c>
      <c r="AD60" s="58">
        <f>+'Tuition-4Yr'!AD60+'State Appropriations-4Yr'!AD60+'Local Appropriations-4Yr'!AD60+'Fed Contracts Grnts-4Yr'!AD60+'Other Contract Grnts-4Yr'!AD60+'Investment Income-4Yr'!AD60+'All Other E&amp;G-4Yr'!AD60</f>
        <v>1825672.8929999999</v>
      </c>
      <c r="AE60" s="58">
        <f>+'Tuition-4Yr'!AE60+'State Appropriations-4Yr'!AE60+'Local Appropriations-4Yr'!AE60+'Fed Contracts Grnts-4Yr'!AE60+'Other Contract Grnts-4Yr'!AE60+'Investment Income-4Yr'!AE60+'All Other E&amp;G-4Yr'!AE60</f>
        <v>1798213.1800000002</v>
      </c>
      <c r="AF60" s="58">
        <f>+'Tuition-4Yr'!AF60+'State Appropriations-4Yr'!AF60+'Local Appropriations-4Yr'!AF60+'Fed Contracts Grnts-4Yr'!AF60+'Other Contract Grnts-4Yr'!AF60+'Investment Income-4Yr'!AF60+'All Other E&amp;G-4Yr'!AF60</f>
        <v>1799443.1790000002</v>
      </c>
      <c r="AG60" s="58">
        <f>+'Tuition-4Yr'!AG60+'State Appropriations-4Yr'!AG60+'Local Appropriations-4Yr'!AG60+'Fed Contracts Grnts-4Yr'!AG60+'Other Contract Grnts-4Yr'!AG60+'Investment Income-4Yr'!AG60+'All Other E&amp;G-4Yr'!AG60</f>
        <v>1835074.649</v>
      </c>
      <c r="AH60" s="58">
        <f>+'Tuition-4Yr'!AH60+'State Appropriations-4Yr'!AH60+'Local Appropriations-4Yr'!AH60+'Fed Contracts Grnts-4Yr'!AH60+'Other Contract Grnts-4Yr'!AH60+'Investment Income-4Yr'!AH60+'All Other E&amp;G-4Yr'!AH60</f>
        <v>1882409.6969999999</v>
      </c>
      <c r="AI60" s="58">
        <f>+'Tuition-4Yr'!AI60+'State Appropriations-4Yr'!AI60+'Local Appropriations-4Yr'!AI60+'Fed Contracts Grnts-4Yr'!AI60+'Other Contract Grnts-4Yr'!AI60+'Investment Income-4Yr'!AI60+'All Other E&amp;G-4Yr'!AI60</f>
        <v>1927360.2080000001</v>
      </c>
      <c r="AJ60" s="58">
        <f>+'Tuition-4Yr'!AJ60+'State Appropriations-4Yr'!AJ60+'Local Appropriations-4Yr'!AJ60+'Fed Contracts Grnts-4Yr'!AJ60+'Other Contract Grnts-4Yr'!AJ60+'Investment Income-4Yr'!AJ60+'All Other E&amp;G-4Yr'!AJ60</f>
        <v>0</v>
      </c>
      <c r="AK60" s="58">
        <f>+'Tuition-4Yr'!AK60+'State Appropriations-4Yr'!AK60+'Local Appropriations-4Yr'!AK60+'Fed Contracts Grnts-4Yr'!AK60+'Other Contract Grnts-4Yr'!AK60+'Investment Income-4Yr'!AK60+'All Other E&amp;G-4Yr'!AK60</f>
        <v>2038528.8190000001</v>
      </c>
    </row>
    <row r="61" spans="1:37" ht="12.75" customHeight="1">
      <c r="A61" s="1" t="s">
        <v>72</v>
      </c>
      <c r="B61" s="58">
        <f>+'Tuition-4Yr'!B61+'State Appropriations-4Yr'!B61+'Local Appropriations-4Yr'!B61+'Fed Contracts Grnts-4Yr'!B61+'Other Contract Grnts-4Yr'!B61+'Investment Income-4Yr'!B61+'All Other E&amp;G-4Yr'!B61</f>
        <v>0</v>
      </c>
      <c r="C61" s="58">
        <f>+'Tuition-4Yr'!C61+'State Appropriations-4Yr'!C61+'Local Appropriations-4Yr'!C61+'Fed Contracts Grnts-4Yr'!C61+'Other Contract Grnts-4Yr'!C61+'Investment Income-4Yr'!C61+'All Other E&amp;G-4Yr'!C61</f>
        <v>0</v>
      </c>
      <c r="D61" s="58">
        <f>+'Tuition-4Yr'!D61+'State Appropriations-4Yr'!D61+'Local Appropriations-4Yr'!D61+'Fed Contracts Grnts-4Yr'!D61+'Other Contract Grnts-4Yr'!D61+'Investment Income-4Yr'!D61+'All Other E&amp;G-4Yr'!D61</f>
        <v>0</v>
      </c>
      <c r="E61" s="58">
        <f>+'Tuition-4Yr'!E61+'State Appropriations-4Yr'!E61+'Local Appropriations-4Yr'!E61+'Fed Contracts Grnts-4Yr'!E61+'Other Contract Grnts-4Yr'!E61+'Investment Income-4Yr'!E61+'All Other E&amp;G-4Yr'!E61</f>
        <v>0</v>
      </c>
      <c r="F61" s="58">
        <f>+'Tuition-4Yr'!F61+'State Appropriations-4Yr'!F61+'Local Appropriations-4Yr'!F61+'Fed Contracts Grnts-4Yr'!F61+'Other Contract Grnts-4Yr'!F61+'Investment Income-4Yr'!F61+'All Other E&amp;G-4Yr'!F61</f>
        <v>0</v>
      </c>
      <c r="G61" s="58">
        <f>+'Tuition-4Yr'!G61+'State Appropriations-4Yr'!G61+'Local Appropriations-4Yr'!G61+'Fed Contracts Grnts-4Yr'!G61+'Other Contract Grnts-4Yr'!G61+'Investment Income-4Yr'!G61+'All Other E&amp;G-4Yr'!G61</f>
        <v>0</v>
      </c>
      <c r="H61" s="58">
        <f>+'Tuition-4Yr'!H61+'State Appropriations-4Yr'!H61+'Local Appropriations-4Yr'!H61+'Fed Contracts Grnts-4Yr'!H61+'Other Contract Grnts-4Yr'!H61+'Investment Income-4Yr'!H61+'All Other E&amp;G-4Yr'!H61</f>
        <v>0</v>
      </c>
      <c r="I61" s="58">
        <f>+'Tuition-4Yr'!I61+'State Appropriations-4Yr'!I61+'Local Appropriations-4Yr'!I61+'Fed Contracts Grnts-4Yr'!I61+'Other Contract Grnts-4Yr'!I61+'Investment Income-4Yr'!I61+'All Other E&amp;G-4Yr'!I61</f>
        <v>0</v>
      </c>
      <c r="J61" s="58">
        <f>+'Tuition-4Yr'!J61+'State Appropriations-4Yr'!J61+'Local Appropriations-4Yr'!J61+'Fed Contracts Grnts-4Yr'!J61+'Other Contract Grnts-4Yr'!J61+'Investment Income-4Yr'!J61+'All Other E&amp;G-4Yr'!J61</f>
        <v>223491.24099999998</v>
      </c>
      <c r="K61" s="58">
        <f>+'Tuition-4Yr'!K61+'State Appropriations-4Yr'!K61+'Local Appropriations-4Yr'!K61+'Fed Contracts Grnts-4Yr'!K61+'Other Contract Grnts-4Yr'!K61+'Investment Income-4Yr'!K61+'All Other E&amp;G-4Yr'!K61</f>
        <v>0</v>
      </c>
      <c r="L61" s="58">
        <f>+'Tuition-4Yr'!L61+'State Appropriations-4Yr'!L61+'Local Appropriations-4Yr'!L61+'Fed Contracts Grnts-4Yr'!L61+'Other Contract Grnts-4Yr'!L61+'Investment Income-4Yr'!L61+'All Other E&amp;G-4Yr'!L61</f>
        <v>0</v>
      </c>
      <c r="M61" s="58">
        <f>+'Tuition-4Yr'!M61+'State Appropriations-4Yr'!M61+'Local Appropriations-4Yr'!M61+'Fed Contracts Grnts-4Yr'!M61+'Other Contract Grnts-4Yr'!M61+'Investment Income-4Yr'!M61+'All Other E&amp;G-4Yr'!M61</f>
        <v>249546.29300000001</v>
      </c>
      <c r="N61" s="58">
        <f>+'Tuition-4Yr'!N61+'State Appropriations-4Yr'!N61+'Local Appropriations-4Yr'!N61+'Fed Contracts Grnts-4Yr'!N61+'Other Contract Grnts-4Yr'!N61+'Investment Income-4Yr'!N61+'All Other E&amp;G-4Yr'!N61</f>
        <v>0</v>
      </c>
      <c r="O61" s="58">
        <f>+'Tuition-4Yr'!O61+'State Appropriations-4Yr'!O61+'Local Appropriations-4Yr'!O61+'Fed Contracts Grnts-4Yr'!O61+'Other Contract Grnts-4Yr'!O61+'Investment Income-4Yr'!O61+'All Other E&amp;G-4Yr'!O61</f>
        <v>269786.32499999995</v>
      </c>
      <c r="P61" s="58">
        <f>+'Tuition-4Yr'!P61+'State Appropriations-4Yr'!P61+'Local Appropriations-4Yr'!P61+'Fed Contracts Grnts-4Yr'!P61+'Other Contract Grnts-4Yr'!P61+'Investment Income-4Yr'!P61+'All Other E&amp;G-4Yr'!P61</f>
        <v>0</v>
      </c>
      <c r="Q61" s="58">
        <f>+'Tuition-4Yr'!Q61+'State Appropriations-4Yr'!Q61+'Local Appropriations-4Yr'!Q61+'Fed Contracts Grnts-4Yr'!Q61+'Other Contract Grnts-4Yr'!Q61+'Investment Income-4Yr'!Q61+'All Other E&amp;G-4Yr'!Q61</f>
        <v>0</v>
      </c>
      <c r="R61" s="58">
        <f>+'Tuition-4Yr'!R61+'State Appropriations-4Yr'!R61+'Local Appropriations-4Yr'!R61+'Fed Contracts Grnts-4Yr'!R61+'Other Contract Grnts-4Yr'!R61+'Investment Income-4Yr'!R61+'All Other E&amp;G-4Yr'!R61</f>
        <v>314761.98899999994</v>
      </c>
      <c r="S61" s="58">
        <f>+'Tuition-4Yr'!S61+'State Appropriations-4Yr'!S61+'Local Appropriations-4Yr'!S61+'Fed Contracts Grnts-4Yr'!S61+'Other Contract Grnts-4Yr'!S61+'Investment Income-4Yr'!S61+'All Other E&amp;G-4Yr'!S61</f>
        <v>333810.837</v>
      </c>
      <c r="T61" s="58">
        <f>+'Tuition-4Yr'!T61+'State Appropriations-4Yr'!T61+'Local Appropriations-4Yr'!T61+'Fed Contracts Grnts-4Yr'!T61+'Other Contract Grnts-4Yr'!T61+'Investment Income-4Yr'!T61+'All Other E&amp;G-4Yr'!T61</f>
        <v>346007.587</v>
      </c>
      <c r="U61" s="58">
        <f>+'Tuition-4Yr'!U61+'State Appropriations-4Yr'!U61+'Local Appropriations-4Yr'!U61+'Fed Contracts Grnts-4Yr'!U61+'Other Contract Grnts-4Yr'!U61+'Investment Income-4Yr'!U61+'All Other E&amp;G-4Yr'!U61</f>
        <v>328864.08400000003</v>
      </c>
      <c r="V61" s="58">
        <f>+'Tuition-4Yr'!V61+'State Appropriations-4Yr'!V61+'Local Appropriations-4Yr'!V61+'Fed Contracts Grnts-4Yr'!V61+'Other Contract Grnts-4Yr'!V61+'Investment Income-4Yr'!V61+'All Other E&amp;G-4Yr'!V61</f>
        <v>345318.01600000006</v>
      </c>
      <c r="W61" s="58">
        <f>+'Tuition-4Yr'!W61+'State Appropriations-4Yr'!W61+'Local Appropriations-4Yr'!W61+'Fed Contracts Grnts-4Yr'!W61+'Other Contract Grnts-4Yr'!W61+'Investment Income-4Yr'!W61+'All Other E&amp;G-4Yr'!W61</f>
        <v>390179.049</v>
      </c>
      <c r="X61" s="58">
        <f>+'Tuition-4Yr'!X61+'State Appropriations-4Yr'!X61+'Local Appropriations-4Yr'!X61+'Fed Contracts Grnts-4Yr'!X61+'Other Contract Grnts-4Yr'!X61+'Investment Income-4Yr'!X61+'All Other E&amp;G-4Yr'!X61</f>
        <v>374064.25799999997</v>
      </c>
      <c r="Y61" s="58">
        <f>+'Tuition-4Yr'!Y61+'State Appropriations-4Yr'!Y61+'Local Appropriations-4Yr'!Y61+'Fed Contracts Grnts-4Yr'!Y61+'Other Contract Grnts-4Yr'!Y61+'Investment Income-4Yr'!Y61+'All Other E&amp;G-4Yr'!Y61</f>
        <v>401610.09399999998</v>
      </c>
      <c r="Z61" s="58">
        <f>+'Tuition-4Yr'!Z61+'State Appropriations-4Yr'!Z61+'Local Appropriations-4Yr'!Z61+'Fed Contracts Grnts-4Yr'!Z61+'Other Contract Grnts-4Yr'!Z61+'Investment Income-4Yr'!Z61+'All Other E&amp;G-4Yr'!Z61</f>
        <v>412602.66399999993</v>
      </c>
      <c r="AA61" s="58">
        <f>+'Tuition-4Yr'!AA61+'State Appropriations-4Yr'!AA61+'Local Appropriations-4Yr'!AA61+'Fed Contracts Grnts-4Yr'!AA61+'Other Contract Grnts-4Yr'!AA61+'Investment Income-4Yr'!AA61+'All Other E&amp;G-4Yr'!AA61</f>
        <v>469702.63800000004</v>
      </c>
      <c r="AB61" s="58">
        <f>+'Tuition-4Yr'!AB61+'State Appropriations-4Yr'!AB61+'Local Appropriations-4Yr'!AB61+'Fed Contracts Grnts-4Yr'!AB61+'Other Contract Grnts-4Yr'!AB61+'Investment Income-4Yr'!AB61+'All Other E&amp;G-4Yr'!AB61</f>
        <v>506309.32799999998</v>
      </c>
      <c r="AC61" s="58">
        <f>+'Tuition-4Yr'!AC61+'State Appropriations-4Yr'!AC61+'Local Appropriations-4Yr'!AC61+'Fed Contracts Grnts-4Yr'!AC61+'Other Contract Grnts-4Yr'!AC61+'Investment Income-4Yr'!AC61+'All Other E&amp;G-4Yr'!AC61</f>
        <v>537437</v>
      </c>
      <c r="AD61" s="58">
        <f>+'Tuition-4Yr'!AD61+'State Appropriations-4Yr'!AD61+'Local Appropriations-4Yr'!AD61+'Fed Contracts Grnts-4Yr'!AD61+'Other Contract Grnts-4Yr'!AD61+'Investment Income-4Yr'!AD61+'All Other E&amp;G-4Yr'!AD61</f>
        <v>570189.30799999996</v>
      </c>
      <c r="AE61" s="58">
        <f>+'Tuition-4Yr'!AE61+'State Appropriations-4Yr'!AE61+'Local Appropriations-4Yr'!AE61+'Fed Contracts Grnts-4Yr'!AE61+'Other Contract Grnts-4Yr'!AE61+'Investment Income-4Yr'!AE61+'All Other E&amp;G-4Yr'!AE61</f>
        <v>566495.75299999991</v>
      </c>
      <c r="AF61" s="58">
        <f>+'Tuition-4Yr'!AF61+'State Appropriations-4Yr'!AF61+'Local Appropriations-4Yr'!AF61+'Fed Contracts Grnts-4Yr'!AF61+'Other Contract Grnts-4Yr'!AF61+'Investment Income-4Yr'!AF61+'All Other E&amp;G-4Yr'!AF61</f>
        <v>571013.99900000007</v>
      </c>
      <c r="AG61" s="58">
        <f>+'Tuition-4Yr'!AG61+'State Appropriations-4Yr'!AG61+'Local Appropriations-4Yr'!AG61+'Fed Contracts Grnts-4Yr'!AG61+'Other Contract Grnts-4Yr'!AG61+'Investment Income-4Yr'!AG61+'All Other E&amp;G-4Yr'!AG61</f>
        <v>593595.05800000008</v>
      </c>
      <c r="AH61" s="58">
        <f>+'Tuition-4Yr'!AH61+'State Appropriations-4Yr'!AH61+'Local Appropriations-4Yr'!AH61+'Fed Contracts Grnts-4Yr'!AH61+'Other Contract Grnts-4Yr'!AH61+'Investment Income-4Yr'!AH61+'All Other E&amp;G-4Yr'!AH61</f>
        <v>613142.77599999995</v>
      </c>
      <c r="AI61" s="58">
        <f>+'Tuition-4Yr'!AI61+'State Appropriations-4Yr'!AI61+'Local Appropriations-4Yr'!AI61+'Fed Contracts Grnts-4Yr'!AI61+'Other Contract Grnts-4Yr'!AI61+'Investment Income-4Yr'!AI61+'All Other E&amp;G-4Yr'!AI61</f>
        <v>630876.375</v>
      </c>
      <c r="AJ61" s="58">
        <f>+'Tuition-4Yr'!AJ61+'State Appropriations-4Yr'!AJ61+'Local Appropriations-4Yr'!AJ61+'Fed Contracts Grnts-4Yr'!AJ61+'Other Contract Grnts-4Yr'!AJ61+'Investment Income-4Yr'!AJ61+'All Other E&amp;G-4Yr'!AJ61</f>
        <v>0</v>
      </c>
      <c r="AK61" s="58">
        <f>+'Tuition-4Yr'!AK61+'State Appropriations-4Yr'!AK61+'Local Appropriations-4Yr'!AK61+'Fed Contracts Grnts-4Yr'!AK61+'Other Contract Grnts-4Yr'!AK61+'Investment Income-4Yr'!AK61+'All Other E&amp;G-4Yr'!AK61</f>
        <v>733137.66899999999</v>
      </c>
    </row>
    <row r="62" spans="1:37" ht="12.75" customHeight="1">
      <c r="A62" s="30" t="s">
        <v>73</v>
      </c>
      <c r="B62" s="62">
        <f>+'Tuition-4Yr'!B62+'State Appropriations-4Yr'!B62+'Local Appropriations-4Yr'!B62+'Fed Contracts Grnts-4Yr'!B62+'Other Contract Grnts-4Yr'!B62+'Investment Income-4Yr'!B62+'All Other E&amp;G-4Yr'!B62</f>
        <v>0</v>
      </c>
      <c r="C62" s="62">
        <f>+'Tuition-4Yr'!C62+'State Appropriations-4Yr'!C62+'Local Appropriations-4Yr'!C62+'Fed Contracts Grnts-4Yr'!C62+'Other Contract Grnts-4Yr'!C62+'Investment Income-4Yr'!C62+'All Other E&amp;G-4Yr'!C62</f>
        <v>0</v>
      </c>
      <c r="D62" s="62">
        <f>+'Tuition-4Yr'!D62+'State Appropriations-4Yr'!D62+'Local Appropriations-4Yr'!D62+'Fed Contracts Grnts-4Yr'!D62+'Other Contract Grnts-4Yr'!D62+'Investment Income-4Yr'!D62+'All Other E&amp;G-4Yr'!D62</f>
        <v>0</v>
      </c>
      <c r="E62" s="62">
        <f>+'Tuition-4Yr'!E62+'State Appropriations-4Yr'!E62+'Local Appropriations-4Yr'!E62+'Fed Contracts Grnts-4Yr'!E62+'Other Contract Grnts-4Yr'!E62+'Investment Income-4Yr'!E62+'All Other E&amp;G-4Yr'!E62</f>
        <v>0</v>
      </c>
      <c r="F62" s="62">
        <f>+'Tuition-4Yr'!F62+'State Appropriations-4Yr'!F62+'Local Appropriations-4Yr'!F62+'Fed Contracts Grnts-4Yr'!F62+'Other Contract Grnts-4Yr'!F62+'Investment Income-4Yr'!F62+'All Other E&amp;G-4Yr'!F62</f>
        <v>0</v>
      </c>
      <c r="G62" s="62">
        <f>+'Tuition-4Yr'!G62+'State Appropriations-4Yr'!G62+'Local Appropriations-4Yr'!G62+'Fed Contracts Grnts-4Yr'!G62+'Other Contract Grnts-4Yr'!G62+'Investment Income-4Yr'!G62+'All Other E&amp;G-4Yr'!G62</f>
        <v>0</v>
      </c>
      <c r="H62" s="62">
        <f>+'Tuition-4Yr'!H62+'State Appropriations-4Yr'!H62+'Local Appropriations-4Yr'!H62+'Fed Contracts Grnts-4Yr'!H62+'Other Contract Grnts-4Yr'!H62+'Investment Income-4Yr'!H62+'All Other E&amp;G-4Yr'!H62</f>
        <v>0</v>
      </c>
      <c r="I62" s="62">
        <f>+'Tuition-4Yr'!I62+'State Appropriations-4Yr'!I62+'Local Appropriations-4Yr'!I62+'Fed Contracts Grnts-4Yr'!I62+'Other Contract Grnts-4Yr'!I62+'Investment Income-4Yr'!I62+'All Other E&amp;G-4Yr'!I62</f>
        <v>0</v>
      </c>
      <c r="J62" s="62">
        <f>+'Tuition-4Yr'!J62+'State Appropriations-4Yr'!J62+'Local Appropriations-4Yr'!J62+'Fed Contracts Grnts-4Yr'!J62+'Other Contract Grnts-4Yr'!J62+'Investment Income-4Yr'!J62+'All Other E&amp;G-4Yr'!J62</f>
        <v>244862.07800000001</v>
      </c>
      <c r="K62" s="62">
        <f>+'Tuition-4Yr'!K62+'State Appropriations-4Yr'!K62+'Local Appropriations-4Yr'!K62+'Fed Contracts Grnts-4Yr'!K62+'Other Contract Grnts-4Yr'!K62+'Investment Income-4Yr'!K62+'All Other E&amp;G-4Yr'!K62</f>
        <v>0</v>
      </c>
      <c r="L62" s="62">
        <f>+'Tuition-4Yr'!L62+'State Appropriations-4Yr'!L62+'Local Appropriations-4Yr'!L62+'Fed Contracts Grnts-4Yr'!L62+'Other Contract Grnts-4Yr'!L62+'Investment Income-4Yr'!L62+'All Other E&amp;G-4Yr'!L62</f>
        <v>0</v>
      </c>
      <c r="M62" s="62">
        <f>+'Tuition-4Yr'!M62+'State Appropriations-4Yr'!M62+'Local Appropriations-4Yr'!M62+'Fed Contracts Grnts-4Yr'!M62+'Other Contract Grnts-4Yr'!M62+'Investment Income-4Yr'!M62+'All Other E&amp;G-4Yr'!M62</f>
        <v>283234.33999999997</v>
      </c>
      <c r="N62" s="62">
        <f>+'Tuition-4Yr'!N62+'State Appropriations-4Yr'!N62+'Local Appropriations-4Yr'!N62+'Fed Contracts Grnts-4Yr'!N62+'Other Contract Grnts-4Yr'!N62+'Investment Income-4Yr'!N62+'All Other E&amp;G-4Yr'!N62</f>
        <v>0</v>
      </c>
      <c r="O62" s="62">
        <f>+'Tuition-4Yr'!O62+'State Appropriations-4Yr'!O62+'Local Appropriations-4Yr'!O62+'Fed Contracts Grnts-4Yr'!O62+'Other Contract Grnts-4Yr'!O62+'Investment Income-4Yr'!O62+'All Other E&amp;G-4Yr'!O62</f>
        <v>310553.44100000005</v>
      </c>
      <c r="P62" s="62">
        <f>+'Tuition-4Yr'!P62+'State Appropriations-4Yr'!P62+'Local Appropriations-4Yr'!P62+'Fed Contracts Grnts-4Yr'!P62+'Other Contract Grnts-4Yr'!P62+'Investment Income-4Yr'!P62+'All Other E&amp;G-4Yr'!P62</f>
        <v>0</v>
      </c>
      <c r="Q62" s="62">
        <f>+'Tuition-4Yr'!Q62+'State Appropriations-4Yr'!Q62+'Local Appropriations-4Yr'!Q62+'Fed Contracts Grnts-4Yr'!Q62+'Other Contract Grnts-4Yr'!Q62+'Investment Income-4Yr'!Q62+'All Other E&amp;G-4Yr'!Q62</f>
        <v>0</v>
      </c>
      <c r="R62" s="62">
        <f>+'Tuition-4Yr'!R62+'State Appropriations-4Yr'!R62+'Local Appropriations-4Yr'!R62+'Fed Contracts Grnts-4Yr'!R62+'Other Contract Grnts-4Yr'!R62+'Investment Income-4Yr'!R62+'All Other E&amp;G-4Yr'!R62</f>
        <v>351610.25599999999</v>
      </c>
      <c r="S62" s="62">
        <f>+'Tuition-4Yr'!S62+'State Appropriations-4Yr'!S62+'Local Appropriations-4Yr'!S62+'Fed Contracts Grnts-4Yr'!S62+'Other Contract Grnts-4Yr'!S62+'Investment Income-4Yr'!S62+'All Other E&amp;G-4Yr'!S62</f>
        <v>378349.212</v>
      </c>
      <c r="T62" s="62">
        <f>+'Tuition-4Yr'!T62+'State Appropriations-4Yr'!T62+'Local Appropriations-4Yr'!T62+'Fed Contracts Grnts-4Yr'!T62+'Other Contract Grnts-4Yr'!T62+'Investment Income-4Yr'!T62+'All Other E&amp;G-4Yr'!T62</f>
        <v>399981.15</v>
      </c>
      <c r="U62" s="62">
        <f>+'Tuition-4Yr'!U62+'State Appropriations-4Yr'!U62+'Local Appropriations-4Yr'!U62+'Fed Contracts Grnts-4Yr'!U62+'Other Contract Grnts-4Yr'!U62+'Investment Income-4Yr'!U62+'All Other E&amp;G-4Yr'!U62</f>
        <v>415155.016</v>
      </c>
      <c r="V62" s="62">
        <f>+'Tuition-4Yr'!V62+'State Appropriations-4Yr'!V62+'Local Appropriations-4Yr'!V62+'Fed Contracts Grnts-4Yr'!V62+'Other Contract Grnts-4Yr'!V62+'Investment Income-4Yr'!V62+'All Other E&amp;G-4Yr'!V62</f>
        <v>470118.56700000004</v>
      </c>
      <c r="W62" s="62">
        <f>+'Tuition-4Yr'!W62+'State Appropriations-4Yr'!W62+'Local Appropriations-4Yr'!W62+'Fed Contracts Grnts-4Yr'!W62+'Other Contract Grnts-4Yr'!W62+'Investment Income-4Yr'!W62+'All Other E&amp;G-4Yr'!W62</f>
        <v>515616.08999999997</v>
      </c>
      <c r="X62" s="62">
        <f>+'Tuition-4Yr'!X62+'State Appropriations-4Yr'!X62+'Local Appropriations-4Yr'!X62+'Fed Contracts Grnts-4Yr'!X62+'Other Contract Grnts-4Yr'!X62+'Investment Income-4Yr'!X62+'All Other E&amp;G-4Yr'!X62</f>
        <v>518778.39999999991</v>
      </c>
      <c r="Y62" s="62">
        <f>+'Tuition-4Yr'!Y62+'State Appropriations-4Yr'!Y62+'Local Appropriations-4Yr'!Y62+'Fed Contracts Grnts-4Yr'!Y62+'Other Contract Grnts-4Yr'!Y62+'Investment Income-4Yr'!Y62+'All Other E&amp;G-4Yr'!Y62</f>
        <v>575402.30300000007</v>
      </c>
      <c r="Z62" s="62">
        <f>+'Tuition-4Yr'!Z62+'State Appropriations-4Yr'!Z62+'Local Appropriations-4Yr'!Z62+'Fed Contracts Grnts-4Yr'!Z62+'Other Contract Grnts-4Yr'!Z62+'Investment Income-4Yr'!Z62+'All Other E&amp;G-4Yr'!Z62</f>
        <v>532053.67499999993</v>
      </c>
      <c r="AA62" s="62">
        <f>+'Tuition-4Yr'!AA62+'State Appropriations-4Yr'!AA62+'Local Appropriations-4Yr'!AA62+'Fed Contracts Grnts-4Yr'!AA62+'Other Contract Grnts-4Yr'!AA62+'Investment Income-4Yr'!AA62+'All Other E&amp;G-4Yr'!AA62</f>
        <v>513269.6</v>
      </c>
      <c r="AB62" s="62">
        <f>+'Tuition-4Yr'!AB62+'State Appropriations-4Yr'!AB62+'Local Appropriations-4Yr'!AB62+'Fed Contracts Grnts-4Yr'!AB62+'Other Contract Grnts-4Yr'!AB62+'Investment Income-4Yr'!AB62+'All Other E&amp;G-4Yr'!AB62</f>
        <v>708990.9</v>
      </c>
      <c r="AC62" s="62">
        <f>+'Tuition-4Yr'!AC62+'State Appropriations-4Yr'!AC62+'Local Appropriations-4Yr'!AC62+'Fed Contracts Grnts-4Yr'!AC62+'Other Contract Grnts-4Yr'!AC62+'Investment Income-4Yr'!AC62+'All Other E&amp;G-4Yr'!AC62</f>
        <v>773286</v>
      </c>
      <c r="AD62" s="62">
        <f>+'Tuition-4Yr'!AD62+'State Appropriations-4Yr'!AD62+'Local Appropriations-4Yr'!AD62+'Fed Contracts Grnts-4Yr'!AD62+'Other Contract Grnts-4Yr'!AD62+'Investment Income-4Yr'!AD62+'All Other E&amp;G-4Yr'!AD62</f>
        <v>695442.022</v>
      </c>
      <c r="AE62" s="62">
        <f>+'Tuition-4Yr'!AE62+'State Appropriations-4Yr'!AE62+'Local Appropriations-4Yr'!AE62+'Fed Contracts Grnts-4Yr'!AE62+'Other Contract Grnts-4Yr'!AE62+'Investment Income-4Yr'!AE62+'All Other E&amp;G-4Yr'!AE62</f>
        <v>754201.69499999995</v>
      </c>
      <c r="AF62" s="62">
        <f>+'Tuition-4Yr'!AF62+'State Appropriations-4Yr'!AF62+'Local Appropriations-4Yr'!AF62+'Fed Contracts Grnts-4Yr'!AF62+'Other Contract Grnts-4Yr'!AF62+'Investment Income-4Yr'!AF62+'All Other E&amp;G-4Yr'!AF62</f>
        <v>770041.90099999995</v>
      </c>
      <c r="AG62" s="62">
        <f>+'Tuition-4Yr'!AG62+'State Appropriations-4Yr'!AG62+'Local Appropriations-4Yr'!AG62+'Fed Contracts Grnts-4Yr'!AG62+'Other Contract Grnts-4Yr'!AG62+'Investment Income-4Yr'!AG62+'All Other E&amp;G-4Yr'!AG62</f>
        <v>734976.03</v>
      </c>
      <c r="AH62" s="62">
        <f>+'Tuition-4Yr'!AH62+'State Appropriations-4Yr'!AH62+'Local Appropriations-4Yr'!AH62+'Fed Contracts Grnts-4Yr'!AH62+'Other Contract Grnts-4Yr'!AH62+'Investment Income-4Yr'!AH62+'All Other E&amp;G-4Yr'!AH62</f>
        <v>797769.22000000009</v>
      </c>
      <c r="AI62" s="62">
        <f>+'Tuition-4Yr'!AI62+'State Appropriations-4Yr'!AI62+'Local Appropriations-4Yr'!AI62+'Fed Contracts Grnts-4Yr'!AI62+'Other Contract Grnts-4Yr'!AI62+'Investment Income-4Yr'!AI62+'All Other E&amp;G-4Yr'!AI62</f>
        <v>879677.57700000005</v>
      </c>
      <c r="AJ62" s="62">
        <f>+'Tuition-4Yr'!AJ62+'State Appropriations-4Yr'!AJ62+'Local Appropriations-4Yr'!AJ62+'Fed Contracts Grnts-4Yr'!AJ62+'Other Contract Grnts-4Yr'!AJ62+'Investment Income-4Yr'!AJ62+'All Other E&amp;G-4Yr'!AJ62</f>
        <v>0</v>
      </c>
      <c r="AK62" s="62">
        <f>+'Tuition-4Yr'!AK62+'State Appropriations-4Yr'!AK62+'Local Appropriations-4Yr'!AK62+'Fed Contracts Grnts-4Yr'!AK62+'Other Contract Grnts-4Yr'!AK62+'Investment Income-4Yr'!AK62+'All Other E&amp;G-4Yr'!AK62</f>
        <v>971338.73800000013</v>
      </c>
    </row>
    <row r="63" spans="1:37">
      <c r="A63" s="56" t="s">
        <v>74</v>
      </c>
      <c r="B63" s="60">
        <f>+'Tuition-4Yr'!B63+'State Appropriations-4Yr'!B63+'Local Appropriations-4Yr'!B63+'Fed Contracts Grnts-4Yr'!B63+'Other Contract Grnts-4Yr'!B63+'Investment Income-4Yr'!B63+'All Other E&amp;G-4Yr'!B63</f>
        <v>0</v>
      </c>
      <c r="C63" s="60">
        <f>+'Tuition-4Yr'!C63+'State Appropriations-4Yr'!C63+'Local Appropriations-4Yr'!C63+'Fed Contracts Grnts-4Yr'!C63+'Other Contract Grnts-4Yr'!C63+'Investment Income-4Yr'!C63+'All Other E&amp;G-4Yr'!C63</f>
        <v>0</v>
      </c>
      <c r="D63" s="60">
        <f>+'Tuition-4Yr'!D63+'State Appropriations-4Yr'!D63+'Local Appropriations-4Yr'!D63+'Fed Contracts Grnts-4Yr'!D63+'Other Contract Grnts-4Yr'!D63+'Investment Income-4Yr'!D63+'All Other E&amp;G-4Yr'!D63</f>
        <v>0</v>
      </c>
      <c r="E63" s="60">
        <f>+'Tuition-4Yr'!E63+'State Appropriations-4Yr'!E63+'Local Appropriations-4Yr'!E63+'Fed Contracts Grnts-4Yr'!E63+'Other Contract Grnts-4Yr'!E63+'Investment Income-4Yr'!E63+'All Other E&amp;G-4Yr'!E63</f>
        <v>0</v>
      </c>
      <c r="F63" s="60">
        <f>+'Tuition-4Yr'!F63+'State Appropriations-4Yr'!F63+'Local Appropriations-4Yr'!F63+'Fed Contracts Grnts-4Yr'!F63+'Other Contract Grnts-4Yr'!F63+'Investment Income-4Yr'!F63+'All Other E&amp;G-4Yr'!F63</f>
        <v>0</v>
      </c>
      <c r="G63" s="60">
        <f>+'Tuition-4Yr'!G63+'State Appropriations-4Yr'!G63+'Local Appropriations-4Yr'!G63+'Fed Contracts Grnts-4Yr'!G63+'Other Contract Grnts-4Yr'!G63+'Investment Income-4Yr'!G63+'All Other E&amp;G-4Yr'!G63</f>
        <v>0</v>
      </c>
      <c r="H63" s="60">
        <f>+'Tuition-4Yr'!H63+'State Appropriations-4Yr'!H63+'Local Appropriations-4Yr'!H63+'Fed Contracts Grnts-4Yr'!H63+'Other Contract Grnts-4Yr'!H63+'Investment Income-4Yr'!H63+'All Other E&amp;G-4Yr'!H63</f>
        <v>0</v>
      </c>
      <c r="I63" s="60">
        <f>+'Tuition-4Yr'!I63+'State Appropriations-4Yr'!I63+'Local Appropriations-4Yr'!I63+'Fed Contracts Grnts-4Yr'!I63+'Other Contract Grnts-4Yr'!I63+'Investment Income-4Yr'!I63+'All Other E&amp;G-4Yr'!I63</f>
        <v>0</v>
      </c>
      <c r="J63" s="60">
        <f>+'Tuition-4Yr'!J63+'State Appropriations-4Yr'!J63+'Local Appropriations-4Yr'!J63+'Fed Contracts Grnts-4Yr'!J63+'Other Contract Grnts-4Yr'!J63+'Investment Income-4Yr'!J63+'All Other E&amp;G-4Yr'!J63</f>
        <v>122674.11199999999</v>
      </c>
      <c r="K63" s="60">
        <f>+'Tuition-4Yr'!K63+'State Appropriations-4Yr'!K63+'Local Appropriations-4Yr'!K63+'Fed Contracts Grnts-4Yr'!K63+'Other Contract Grnts-4Yr'!K63+'Investment Income-4Yr'!K63+'All Other E&amp;G-4Yr'!K63</f>
        <v>0</v>
      </c>
      <c r="L63" s="60">
        <f>+'Tuition-4Yr'!L63+'State Appropriations-4Yr'!L63+'Local Appropriations-4Yr'!L63+'Fed Contracts Grnts-4Yr'!L63+'Other Contract Grnts-4Yr'!L63+'Investment Income-4Yr'!L63+'All Other E&amp;G-4Yr'!L63</f>
        <v>0</v>
      </c>
      <c r="M63" s="60">
        <f>+'Tuition-4Yr'!M63+'State Appropriations-4Yr'!M63+'Local Appropriations-4Yr'!M63+'Fed Contracts Grnts-4Yr'!M63+'Other Contract Grnts-4Yr'!M63+'Investment Income-4Yr'!M63+'All Other E&amp;G-4Yr'!M63</f>
        <v>105262.341</v>
      </c>
      <c r="N63" s="60">
        <f>+'Tuition-4Yr'!N63+'State Appropriations-4Yr'!N63+'Local Appropriations-4Yr'!N63+'Fed Contracts Grnts-4Yr'!N63+'Other Contract Grnts-4Yr'!N63+'Investment Income-4Yr'!N63+'All Other E&amp;G-4Yr'!N63</f>
        <v>0</v>
      </c>
      <c r="O63" s="60">
        <f>+'Tuition-4Yr'!O63+'State Appropriations-4Yr'!O63+'Local Appropriations-4Yr'!O63+'Fed Contracts Grnts-4Yr'!O63+'Other Contract Grnts-4Yr'!O63+'Investment Income-4Yr'!O63+'All Other E&amp;G-4Yr'!O63</f>
        <v>106812.00149000001</v>
      </c>
      <c r="P63" s="60">
        <f>+'Tuition-4Yr'!P63+'State Appropriations-4Yr'!P63+'Local Appropriations-4Yr'!P63+'Fed Contracts Grnts-4Yr'!P63+'Other Contract Grnts-4Yr'!P63+'Investment Income-4Yr'!P63+'All Other E&amp;G-4Yr'!P63</f>
        <v>0</v>
      </c>
      <c r="Q63" s="60">
        <f>+'Tuition-4Yr'!Q63+'State Appropriations-4Yr'!Q63+'Local Appropriations-4Yr'!Q63+'Fed Contracts Grnts-4Yr'!Q63+'Other Contract Grnts-4Yr'!Q63+'Investment Income-4Yr'!Q63+'All Other E&amp;G-4Yr'!Q63</f>
        <v>0</v>
      </c>
      <c r="R63" s="60">
        <f>+'Tuition-4Yr'!R63+'State Appropriations-4Yr'!R63+'Local Appropriations-4Yr'!R63+'Fed Contracts Grnts-4Yr'!R63+'Other Contract Grnts-4Yr'!R63+'Investment Income-4Yr'!R63+'All Other E&amp;G-4Yr'!R63</f>
        <v>74808.669000000009</v>
      </c>
      <c r="S63" s="60">
        <f>+'Tuition-4Yr'!S63+'State Appropriations-4Yr'!S63+'Local Appropriations-4Yr'!S63+'Fed Contracts Grnts-4Yr'!S63+'Other Contract Grnts-4Yr'!S63+'Investment Income-4Yr'!S63+'All Other E&amp;G-4Yr'!S63</f>
        <v>92870.498999999996</v>
      </c>
      <c r="T63" s="60">
        <f>+'Tuition-4Yr'!T63+'State Appropriations-4Yr'!T63+'Local Appropriations-4Yr'!T63+'Fed Contracts Grnts-4Yr'!T63+'Other Contract Grnts-4Yr'!T63+'Investment Income-4Yr'!T63+'All Other E&amp;G-4Yr'!T63</f>
        <v>94089.83600000001</v>
      </c>
      <c r="U63" s="60">
        <f>+'Tuition-4Yr'!U63+'State Appropriations-4Yr'!U63+'Local Appropriations-4Yr'!U63+'Fed Contracts Grnts-4Yr'!U63+'Other Contract Grnts-4Yr'!U63+'Investment Income-4Yr'!U63+'All Other E&amp;G-4Yr'!U63</f>
        <v>95228.725999999995</v>
      </c>
      <c r="V63" s="60">
        <f>+'Tuition-4Yr'!V63+'State Appropriations-4Yr'!V63+'Local Appropriations-4Yr'!V63+'Fed Contracts Grnts-4Yr'!V63+'Other Contract Grnts-4Yr'!V63+'Investment Income-4Yr'!V63+'All Other E&amp;G-4Yr'!V63</f>
        <v>98087.138999999996</v>
      </c>
      <c r="W63" s="60">
        <f>+'Tuition-4Yr'!W63+'State Appropriations-4Yr'!W63+'Local Appropriations-4Yr'!W63+'Fed Contracts Grnts-4Yr'!W63+'Other Contract Grnts-4Yr'!W63+'Investment Income-4Yr'!W63+'All Other E&amp;G-4Yr'!W63</f>
        <v>111793.22</v>
      </c>
      <c r="X63" s="60">
        <f>+'Tuition-4Yr'!X63+'State Appropriations-4Yr'!X63+'Local Appropriations-4Yr'!X63+'Fed Contracts Grnts-4Yr'!X63+'Other Contract Grnts-4Yr'!X63+'Investment Income-4Yr'!X63+'All Other E&amp;G-4Yr'!X63</f>
        <v>119552.70000000001</v>
      </c>
      <c r="Y63" s="60">
        <f>+'Tuition-4Yr'!Y63+'State Appropriations-4Yr'!Y63+'Local Appropriations-4Yr'!Y63+'Fed Contracts Grnts-4Yr'!Y63+'Other Contract Grnts-4Yr'!Y63+'Investment Income-4Yr'!Y63+'All Other E&amp;G-4Yr'!Y63</f>
        <v>124366.325</v>
      </c>
      <c r="Z63" s="60">
        <f>+'Tuition-4Yr'!Z63+'State Appropriations-4Yr'!Z63+'Local Appropriations-4Yr'!Z63+'Fed Contracts Grnts-4Yr'!Z63+'Other Contract Grnts-4Yr'!Z63+'Investment Income-4Yr'!Z63+'All Other E&amp;G-4Yr'!Z63</f>
        <v>119974.29799999998</v>
      </c>
      <c r="AA63" s="60">
        <f>+'Tuition-4Yr'!AA63+'State Appropriations-4Yr'!AA63+'Local Appropriations-4Yr'!AA63+'Fed Contracts Grnts-4Yr'!AA63+'Other Contract Grnts-4Yr'!AA63+'Investment Income-4Yr'!AA63+'All Other E&amp;G-4Yr'!AA63</f>
        <v>121282.02899999999</v>
      </c>
      <c r="AB63" s="60">
        <f>+'Tuition-4Yr'!AB63+'State Appropriations-4Yr'!AB63+'Local Appropriations-4Yr'!AB63+'Fed Contracts Grnts-4Yr'!AB63+'Other Contract Grnts-4Yr'!AB63+'Investment Income-4Yr'!AB63+'All Other E&amp;G-4Yr'!AB63</f>
        <v>133116.84599999999</v>
      </c>
      <c r="AC63" s="60">
        <f>+'Tuition-4Yr'!AC63+'State Appropriations-4Yr'!AC63+'Local Appropriations-4Yr'!AC63+'Fed Contracts Grnts-4Yr'!AC63+'Other Contract Grnts-4Yr'!AC63+'Investment Income-4Yr'!AC63+'All Other E&amp;G-4Yr'!AC63</f>
        <v>165301</v>
      </c>
      <c r="AD63" s="60">
        <f>+'Tuition-4Yr'!AD63+'State Appropriations-4Yr'!AD63+'Local Appropriations-4Yr'!AD63+'Fed Contracts Grnts-4Yr'!AD63+'Other Contract Grnts-4Yr'!AD63+'Investment Income-4Yr'!AD63+'All Other E&amp;G-4Yr'!AD63</f>
        <v>142419.78600000002</v>
      </c>
      <c r="AE63" s="60">
        <f>+'Tuition-4Yr'!AE63+'State Appropriations-4Yr'!AE63+'Local Appropriations-4Yr'!AE63+'Fed Contracts Grnts-4Yr'!AE63+'Other Contract Grnts-4Yr'!AE63+'Investment Income-4Yr'!AE63+'All Other E&amp;G-4Yr'!AE63</f>
        <v>147119.69400000002</v>
      </c>
      <c r="AF63" s="60">
        <f>+'Tuition-4Yr'!AF63+'State Appropriations-4Yr'!AF63+'Local Appropriations-4Yr'!AF63+'Fed Contracts Grnts-4Yr'!AF63+'Other Contract Grnts-4Yr'!AF63+'Investment Income-4Yr'!AF63+'All Other E&amp;G-4Yr'!AF63</f>
        <v>137802.19399999999</v>
      </c>
      <c r="AG63" s="60">
        <f>+'Tuition-4Yr'!AG63+'State Appropriations-4Yr'!AG63+'Local Appropriations-4Yr'!AG63+'Fed Contracts Grnts-4Yr'!AG63+'Other Contract Grnts-4Yr'!AG63+'Investment Income-4Yr'!AG63+'All Other E&amp;G-4Yr'!AG63</f>
        <v>138972.511</v>
      </c>
      <c r="AH63" s="60">
        <f>+'Tuition-4Yr'!AH63+'State Appropriations-4Yr'!AH63+'Local Appropriations-4Yr'!AH63+'Fed Contracts Grnts-4Yr'!AH63+'Other Contract Grnts-4Yr'!AH63+'Investment Income-4Yr'!AH63+'All Other E&amp;G-4Yr'!AH63</f>
        <v>148105.38399999999</v>
      </c>
      <c r="AI63" s="60">
        <f>+'Tuition-4Yr'!AI63+'State Appropriations-4Yr'!AI63+'Local Appropriations-4Yr'!AI63+'Fed Contracts Grnts-4Yr'!AI63+'Other Contract Grnts-4Yr'!AI63+'Investment Income-4Yr'!AI63+'All Other E&amp;G-4Yr'!AI63</f>
        <v>151118.14299999998</v>
      </c>
      <c r="AJ63" s="60">
        <f>+'Tuition-4Yr'!AJ63+'State Appropriations-4Yr'!AJ63+'Local Appropriations-4Yr'!AJ63+'Fed Contracts Grnts-4Yr'!AJ63+'Other Contract Grnts-4Yr'!AJ63+'Investment Income-4Yr'!AJ63+'All Other E&amp;G-4Yr'!AJ63</f>
        <v>0</v>
      </c>
      <c r="AK63" s="60">
        <f>+'Tuition-4Yr'!AK63+'State Appropriations-4Yr'!AK63+'Local Appropriations-4Yr'!AK63+'Fed Contracts Grnts-4Yr'!AK63+'Other Contract Grnts-4Yr'!AK63+'Investment Income-4Yr'!AK63+'All Other E&amp;G-4Yr'!AK63</f>
        <v>171882.67199999999</v>
      </c>
    </row>
    <row r="64" spans="1:37" ht="12.75" customHeight="1"/>
    <row r="65" spans="12:28" ht="12.75" customHeight="1"/>
    <row r="66" spans="12:28" ht="12.75" customHeight="1">
      <c r="L66" s="34"/>
      <c r="M66" s="21"/>
      <c r="T66" s="34"/>
      <c r="U66" s="34"/>
      <c r="V66" s="34"/>
      <c r="W66" s="34"/>
      <c r="X66" s="34"/>
      <c r="Y66" s="34"/>
      <c r="Z66" s="41"/>
      <c r="AA66" s="41"/>
      <c r="AB66" s="41"/>
    </row>
    <row r="67" spans="12:28" ht="12.75" customHeight="1">
      <c r="V67" s="1"/>
      <c r="W67" s="1"/>
      <c r="X67" s="1"/>
      <c r="Y67" s="1"/>
    </row>
    <row r="68" spans="12:28" ht="12.75" customHeight="1">
      <c r="V68" s="1"/>
      <c r="W68" s="1"/>
      <c r="X68" s="1"/>
      <c r="Y68" s="1"/>
    </row>
    <row r="69" spans="12:28" ht="12.75" customHeight="1">
      <c r="L69" s="41"/>
      <c r="M69" s="41"/>
    </row>
    <row r="70" spans="12:28" ht="12.75" customHeight="1"/>
    <row r="71" spans="12:28" ht="12.75" customHeight="1"/>
    <row r="72" spans="12:28" ht="12.75" customHeight="1"/>
    <row r="73" spans="12:28" ht="12.75" customHeight="1"/>
    <row r="74" spans="12:28" ht="12.75" customHeight="1"/>
    <row r="75" spans="12:28" ht="12.75" customHeight="1"/>
    <row r="76" spans="12:28" ht="12.75" customHeight="1"/>
    <row r="77" spans="12:28" ht="12.75" customHeight="1"/>
    <row r="78" spans="12:28" ht="12.75" customHeight="1"/>
    <row r="79" spans="12:28" ht="12.75" customHeight="1"/>
    <row r="80" spans="12:28" ht="12.75" customHeight="1"/>
    <row r="81" spans="2:213" ht="9.9499999999999993" customHeight="1"/>
    <row r="82" spans="2:213" ht="9.9499999999999993" customHeight="1">
      <c r="GW82" s="4"/>
      <c r="GX82" s="4"/>
      <c r="GY82" s="4"/>
      <c r="GZ82" s="4"/>
      <c r="HA82" s="4"/>
      <c r="HB82" s="4"/>
      <c r="HC82" s="4"/>
      <c r="HD82" s="4"/>
      <c r="HE82" s="4"/>
    </row>
    <row r="83" spans="2:213">
      <c r="GU83" s="4"/>
      <c r="GV83" s="4"/>
      <c r="GW83" s="4"/>
      <c r="GX83" s="4"/>
      <c r="GY83" s="4"/>
      <c r="GZ83" s="4"/>
      <c r="HA83" s="4"/>
      <c r="HB83" s="4"/>
      <c r="HC83" s="4"/>
      <c r="HD83" s="4"/>
      <c r="HE83" s="4"/>
    </row>
    <row r="84" spans="2:213">
      <c r="GU84" s="4"/>
      <c r="GV84" s="4"/>
      <c r="GW84" s="4"/>
      <c r="GX84" s="4"/>
      <c r="GY84" s="4"/>
      <c r="GZ84" s="4"/>
      <c r="HA84" s="4"/>
      <c r="HB84" s="4"/>
      <c r="HC84" s="4"/>
      <c r="HD84" s="4"/>
      <c r="HE84" s="4"/>
    </row>
    <row r="85" spans="2:213">
      <c r="GW85" s="4"/>
      <c r="GX85" s="4"/>
      <c r="GY85" s="4"/>
      <c r="GZ85" s="4"/>
      <c r="HA85" s="4"/>
      <c r="HB85" s="4"/>
      <c r="HC85" s="4"/>
    </row>
    <row r="86" spans="2:213">
      <c r="GW86" s="4"/>
      <c r="GX86" s="4"/>
      <c r="GY86" s="4"/>
      <c r="GZ86" s="4"/>
      <c r="HA86" s="4"/>
      <c r="HB86" s="4"/>
      <c r="HC86" s="4"/>
    </row>
    <row r="87" spans="2:213">
      <c r="GW87" s="4"/>
      <c r="GX87" s="4"/>
      <c r="GY87" s="4"/>
      <c r="GZ87" s="4"/>
      <c r="HA87" s="4"/>
      <c r="HB87" s="4"/>
      <c r="HC87" s="4"/>
    </row>
    <row r="92" spans="2:213">
      <c r="B92" s="12"/>
      <c r="C92" s="12"/>
      <c r="D92" s="12"/>
      <c r="E92" s="12"/>
      <c r="F92" s="12"/>
      <c r="G92" s="12"/>
      <c r="H92" s="12"/>
    </row>
  </sheetData>
  <phoneticPr fontId="8"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7"/>
  </sheetPr>
  <dimension ref="A1:HF87"/>
  <sheetViews>
    <sheetView showZeros="0" zoomScaleNormal="100" workbookViewId="0">
      <pane xSplit="1" ySplit="3" topLeftCell="T31" activePane="bottomRight" state="frozen"/>
      <selection pane="topRight" activeCell="O44" sqref="O44"/>
      <selection pane="bottomLeft" activeCell="O44" sqref="O44"/>
      <selection pane="bottomRight" activeCell="C69" sqref="C69"/>
    </sheetView>
  </sheetViews>
  <sheetFormatPr defaultColWidth="9.7109375" defaultRowHeight="12.75"/>
  <cols>
    <col min="1" max="1" width="19.5703125" style="1" bestFit="1" customWidth="1"/>
    <col min="2" max="28" width="10.7109375" style="10" customWidth="1"/>
    <col min="29" max="32" width="10.7109375" style="1" bestFit="1" customWidth="1"/>
    <col min="33" max="34" width="10.7109375" style="1" customWidth="1"/>
    <col min="35" max="35" width="14.42578125" style="1" bestFit="1" customWidth="1"/>
    <col min="36" max="36" width="9.7109375" style="1"/>
    <col min="37" max="37" width="14.42578125" style="1" bestFit="1" customWidth="1"/>
    <col min="38" max="178" width="9.7109375" style="1"/>
    <col min="179" max="179" width="11.7109375" style="1" customWidth="1"/>
    <col min="180" max="203" width="9.7109375" style="1"/>
    <col min="204" max="204" width="5.7109375" style="1" customWidth="1"/>
    <col min="205" max="205" width="6.7109375" style="1" customWidth="1"/>
    <col min="206" max="207" width="8.7109375" style="1" customWidth="1"/>
    <col min="208" max="209" width="6.7109375" style="1" customWidth="1"/>
    <col min="210" max="211" width="8.7109375" style="1" customWidth="1"/>
    <col min="212" max="213" width="6.7109375" style="1" customWidth="1"/>
    <col min="214" max="214" width="1.7109375" style="1" customWidth="1"/>
    <col min="215" max="16384" width="9.7109375" style="1"/>
  </cols>
  <sheetData>
    <row r="1" spans="1:37">
      <c r="A1" s="39" t="s">
        <v>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I1" s="1">
        <f>AI2*0.01</f>
        <v>208644727.48000002</v>
      </c>
      <c r="AK1" s="1">
        <f>AK2*0.01</f>
        <v>244117658.38</v>
      </c>
    </row>
    <row r="2" spans="1:37">
      <c r="A2" s="1" t="s">
        <v>93</v>
      </c>
      <c r="AI2" s="1">
        <f>AI5*1000</f>
        <v>20864472748</v>
      </c>
      <c r="AK2" s="1">
        <f>AK5*1000</f>
        <v>24411765838</v>
      </c>
    </row>
    <row r="3" spans="1:37" s="32" customFormat="1">
      <c r="B3" s="43">
        <v>1984</v>
      </c>
      <c r="C3" s="43">
        <v>1985</v>
      </c>
      <c r="D3" s="43">
        <v>1986</v>
      </c>
      <c r="E3" s="43">
        <v>1987</v>
      </c>
      <c r="F3" s="43">
        <v>1988</v>
      </c>
      <c r="G3" s="43">
        <v>1989</v>
      </c>
      <c r="H3" s="43">
        <v>1990</v>
      </c>
      <c r="I3" s="43">
        <v>1991</v>
      </c>
      <c r="J3" s="43">
        <v>1992</v>
      </c>
      <c r="K3" s="43">
        <v>1993</v>
      </c>
      <c r="L3" s="43">
        <v>1994</v>
      </c>
      <c r="M3" s="43">
        <v>1995</v>
      </c>
      <c r="N3" s="43">
        <v>1996</v>
      </c>
      <c r="O3" s="43">
        <v>1997</v>
      </c>
      <c r="P3" s="43"/>
      <c r="Q3" s="43"/>
      <c r="R3" s="43">
        <v>2000</v>
      </c>
      <c r="S3" s="43">
        <v>2001</v>
      </c>
      <c r="T3" s="43">
        <v>2002</v>
      </c>
      <c r="U3" s="43">
        <v>2003</v>
      </c>
      <c r="V3" s="43">
        <v>2004</v>
      </c>
      <c r="W3" s="43">
        <v>2005</v>
      </c>
      <c r="X3" s="43">
        <v>2006</v>
      </c>
      <c r="Y3" s="43">
        <v>2007</v>
      </c>
      <c r="Z3" s="43">
        <v>2008</v>
      </c>
      <c r="AA3" s="43">
        <v>2009</v>
      </c>
      <c r="AB3" s="43">
        <v>2010</v>
      </c>
      <c r="AC3" s="43">
        <v>2011</v>
      </c>
      <c r="AD3" s="32">
        <v>2012</v>
      </c>
      <c r="AE3" s="32">
        <v>2013</v>
      </c>
      <c r="AF3" s="32">
        <v>2014</v>
      </c>
      <c r="AG3" s="32">
        <v>2015</v>
      </c>
      <c r="AH3" s="32">
        <v>2016</v>
      </c>
      <c r="AI3" s="32">
        <v>2017</v>
      </c>
      <c r="AJ3" s="131">
        <v>2018</v>
      </c>
      <c r="AK3" s="131">
        <v>2019</v>
      </c>
    </row>
    <row r="4" spans="1:37" ht="12.75" customHeight="1">
      <c r="A4" s="53" t="s">
        <v>19</v>
      </c>
      <c r="B4" s="89">
        <f>+'Tuition-2Yr'!B4+'State Appropriations-2Yr'!B4+'Local Appropriations-2Yr'!B4+'Fed Contracts Grnts-2Yr'!B4+'Other Contracts Grnts-2Yr'!B4+'Investment Income-2Yr'!B4+'All Other E&amp;G-2Yr'!B4</f>
        <v>9549523</v>
      </c>
      <c r="C4" s="89">
        <f>+'Tuition-2Yr'!C4+'State Appropriations-2Yr'!C4+'Local Appropriations-2Yr'!C4+'Fed Contracts Grnts-2Yr'!C4+'Other Contracts Grnts-2Yr'!C4+'Investment Income-2Yr'!C4+'All Other E&amp;G-2Yr'!C4</f>
        <v>10332952</v>
      </c>
      <c r="D4" s="89">
        <f>+'Tuition-2Yr'!D4+'State Appropriations-2Yr'!D4+'Local Appropriations-2Yr'!D4+'Fed Contracts Grnts-2Yr'!D4+'Other Contracts Grnts-2Yr'!D4+'Investment Income-2Yr'!D4+'All Other E&amp;G-2Yr'!D4</f>
        <v>11213971</v>
      </c>
      <c r="E4" s="89">
        <f>+'Tuition-2Yr'!E4+'State Appropriations-2Yr'!E4+'Local Appropriations-2Yr'!E4+'Fed Contracts Grnts-2Yr'!E4+'Other Contracts Grnts-2Yr'!E4+'Investment Income-2Yr'!E4+'All Other E&amp;G-2Yr'!E4</f>
        <v>0</v>
      </c>
      <c r="F4" s="89">
        <f>+'Tuition-2Yr'!F4+'State Appropriations-2Yr'!F4+'Local Appropriations-2Yr'!F4+'Fed Contracts Grnts-2Yr'!F4+'Other Contracts Grnts-2Yr'!F4+'Investment Income-2Yr'!F4+'All Other E&amp;G-2Yr'!F4</f>
        <v>0</v>
      </c>
      <c r="G4" s="89">
        <f>+'Tuition-2Yr'!G4+'State Appropriations-2Yr'!G4+'Local Appropriations-2Yr'!G4+'Fed Contracts Grnts-2Yr'!G4+'Other Contracts Grnts-2Yr'!G4+'Investment Income-2Yr'!G4+'All Other E&amp;G-2Yr'!G4</f>
        <v>0</v>
      </c>
      <c r="H4" s="89">
        <f>+'Tuition-2Yr'!H4+'State Appropriations-2Yr'!H4+'Local Appropriations-2Yr'!H4+'Fed Contracts Grnts-2Yr'!H4+'Other Contracts Grnts-2Yr'!H4+'Investment Income-2Yr'!H4+'All Other E&amp;G-2Yr'!H4</f>
        <v>0</v>
      </c>
      <c r="I4" s="89">
        <f>+'Tuition-2Yr'!I4+'State Appropriations-2Yr'!I4+'Local Appropriations-2Yr'!I4+'Fed Contracts Grnts-2Yr'!I4+'Other Contracts Grnts-2Yr'!I4+'Investment Income-2Yr'!I4+'All Other E&amp;G-2Yr'!I4</f>
        <v>16631086.160999998</v>
      </c>
      <c r="J4" s="89">
        <f>+'Tuition-2Yr'!J4+'State Appropriations-2Yr'!J4+'Local Appropriations-2Yr'!J4+'Fed Contracts Grnts-2Yr'!J4+'Other Contracts Grnts-2Yr'!J4+'Investment Income-2Yr'!J4+'All Other E&amp;G-2Yr'!J4</f>
        <v>17597888.829</v>
      </c>
      <c r="K4" s="89">
        <f>+'Tuition-2Yr'!K4+'State Appropriations-2Yr'!K4+'Local Appropriations-2Yr'!K4+'Fed Contracts Grnts-2Yr'!K4+'Other Contracts Grnts-2Yr'!K4+'Investment Income-2Yr'!K4+'All Other E&amp;G-2Yr'!K4</f>
        <v>19258908.179666668</v>
      </c>
      <c r="L4" s="89">
        <f>+'Tuition-2Yr'!L4+'State Appropriations-2Yr'!L4+'Local Appropriations-2Yr'!L4+'Fed Contracts Grnts-2Yr'!L4+'Other Contracts Grnts-2Yr'!L4+'Investment Income-2Yr'!L4+'All Other E&amp;G-2Yr'!L4</f>
        <v>20323146.969333332</v>
      </c>
      <c r="M4" s="89">
        <f>+'Tuition-2Yr'!M4+'State Appropriations-2Yr'!M4+'Local Appropriations-2Yr'!M4+'Fed Contracts Grnts-2Yr'!M4+'Other Contracts Grnts-2Yr'!M4+'Investment Income-2Yr'!M4+'All Other E&amp;G-2Yr'!M4</f>
        <v>20525660.449000001</v>
      </c>
      <c r="N4" s="89">
        <f>+'Tuition-2Yr'!N4+'State Appropriations-2Yr'!N4+'Local Appropriations-2Yr'!N4+'Fed Contracts Grnts-2Yr'!N4+'Other Contracts Grnts-2Yr'!N4+'Investment Income-2Yr'!N4+'All Other E&amp;G-2Yr'!N4</f>
        <v>23636604.783305001</v>
      </c>
      <c r="O4" s="89">
        <f>+'Tuition-2Yr'!O4+'State Appropriations-2Yr'!O4+'Local Appropriations-2Yr'!O4+'Fed Contracts Grnts-2Yr'!O4+'Other Contracts Grnts-2Yr'!O4+'Investment Income-2Yr'!O4+'All Other E&amp;G-2Yr'!O4</f>
        <v>23683188.14232</v>
      </c>
      <c r="P4" s="89">
        <f>+'Tuition-2Yr'!P4+'State Appropriations-2Yr'!P4+'Local Appropriations-2Yr'!P4+'Fed Contracts Grnts-2Yr'!P4+'Other Contracts Grnts-2Yr'!P4+'Investment Income-2Yr'!P4+'All Other E&amp;G-2Yr'!P4</f>
        <v>0</v>
      </c>
      <c r="Q4" s="89">
        <f>+'Tuition-2Yr'!Q4+'State Appropriations-2Yr'!Q4+'Local Appropriations-2Yr'!Q4+'Fed Contracts Grnts-2Yr'!Q4+'Other Contracts Grnts-2Yr'!Q4+'Investment Income-2Yr'!Q4+'All Other E&amp;G-2Yr'!Q4</f>
        <v>0</v>
      </c>
      <c r="R4" s="89">
        <f>+'Tuition-2Yr'!R4+'State Appropriations-2Yr'!R4+'Local Appropriations-2Yr'!R4+'Fed Contracts Grnts-2Yr'!R4+'Other Contracts Grnts-2Yr'!R4+'Investment Income-2Yr'!R4+'All Other E&amp;G-2Yr'!R4</f>
        <v>26617343.835999999</v>
      </c>
      <c r="S4" s="89">
        <f>+'Tuition-2Yr'!S4+'State Appropriations-2Yr'!S4+'Local Appropriations-2Yr'!S4+'Fed Contracts Grnts-2Yr'!S4+'Other Contracts Grnts-2Yr'!S4+'Investment Income-2Yr'!S4+'All Other E&amp;G-2Yr'!S4</f>
        <v>30065549.865000002</v>
      </c>
      <c r="T4" s="89">
        <f>+'Tuition-2Yr'!T4+'State Appropriations-2Yr'!T4+'Local Appropriations-2Yr'!T4+'Fed Contracts Grnts-2Yr'!T4+'Other Contracts Grnts-2Yr'!T4+'Investment Income-2Yr'!T4+'All Other E&amp;G-2Yr'!T4</f>
        <v>31322095.756000005</v>
      </c>
      <c r="U4" s="89">
        <f>+'Tuition-2Yr'!U4+'State Appropriations-2Yr'!U4+'Local Appropriations-2Yr'!U4+'Fed Contracts Grnts-2Yr'!U4+'Other Contracts Grnts-2Yr'!U4+'Investment Income-2Yr'!U4+'All Other E&amp;G-2Yr'!U4</f>
        <v>31173348.503000006</v>
      </c>
      <c r="V4" s="89">
        <f>+'Tuition-2Yr'!V4+'State Appropriations-2Yr'!V4+'Local Appropriations-2Yr'!V4+'Fed Contracts Grnts-2Yr'!V4+'Other Contracts Grnts-2Yr'!V4+'Investment Income-2Yr'!V4+'All Other E&amp;G-2Yr'!V4</f>
        <v>32446075.345999997</v>
      </c>
      <c r="W4" s="89">
        <f>+'Tuition-2Yr'!W4+'State Appropriations-2Yr'!W4+'Local Appropriations-2Yr'!W4+'Fed Contracts Grnts-2Yr'!W4+'Other Contracts Grnts-2Yr'!W4+'Investment Income-2Yr'!W4+'All Other E&amp;G-2Yr'!W4</f>
        <v>38571126.587000005</v>
      </c>
      <c r="X4" s="89">
        <f>+'Tuition-2Yr'!X4+'State Appropriations-2Yr'!X4+'Local Appropriations-2Yr'!X4+'Fed Contracts Grnts-2Yr'!X4+'Other Contracts Grnts-2Yr'!X4+'Investment Income-2Yr'!X4+'All Other E&amp;G-2Yr'!X4</f>
        <v>38247350.699000001</v>
      </c>
      <c r="Y4" s="89">
        <f>+'Tuition-2Yr'!Y4+'State Appropriations-2Yr'!Y4+'Local Appropriations-2Yr'!Y4+'Fed Contracts Grnts-2Yr'!Y4+'Other Contracts Grnts-2Yr'!Y4+'Investment Income-2Yr'!Y4+'All Other E&amp;G-2Yr'!Y4</f>
        <v>40985186.969999999</v>
      </c>
      <c r="Z4" s="89">
        <f>+'Tuition-2Yr'!Z4+'State Appropriations-2Yr'!Z4+'Local Appropriations-2Yr'!Z4+'Fed Contracts Grnts-2Yr'!Z4+'Other Contracts Grnts-2Yr'!Z4+'Investment Income-2Yr'!Z4+'All Other E&amp;G-2Yr'!Z4</f>
        <v>44227040.221999995</v>
      </c>
      <c r="AA4" s="89">
        <f>+'Tuition-2Yr'!AA4+'State Appropriations-2Yr'!AA4+'Local Appropriations-2Yr'!AA4+'Fed Contracts Grnts-2Yr'!AA4+'Other Contracts Grnts-2Yr'!AA4+'Investment Income-2Yr'!AA4+'All Other E&amp;G-2Yr'!AA4</f>
        <v>50856952.14199999</v>
      </c>
      <c r="AB4" s="89">
        <f>+'Tuition-2Yr'!AB4+'State Appropriations-2Yr'!AB4+'Local Appropriations-2Yr'!AB4+'Fed Contracts Grnts-2Yr'!AB4+'Other Contracts Grnts-2Yr'!AB4+'Investment Income-2Yr'!AB4+'All Other E&amp;G-2Yr'!AB4</f>
        <v>58413031.428999998</v>
      </c>
      <c r="AC4" s="89">
        <f>+'Tuition-2Yr'!AC4+'State Appropriations-2Yr'!AC4+'Local Appropriations-2Yr'!AC4+'Fed Contracts Grnts-2Yr'!AC4+'Other Contracts Grnts-2Yr'!AC4+'Investment Income-2Yr'!AC4+'All Other E&amp;G-2Yr'!AC4</f>
        <v>63181509</v>
      </c>
      <c r="AD4" s="89">
        <f>+'Tuition-2Yr'!AD4+'State Appropriations-2Yr'!AD4+'Local Appropriations-2Yr'!AD4+'Fed Contracts Grnts-2Yr'!AD4+'Other Contracts Grnts-2Yr'!AD4+'Investment Income-2Yr'!AD4+'All Other E&amp;G-2Yr'!AD4</f>
        <v>62158598.019000001</v>
      </c>
      <c r="AE4" s="89">
        <f>+'Tuition-2Yr'!AE4+'State Appropriations-2Yr'!AE4+'Local Appropriations-2Yr'!AE4+'Fed Contracts Grnts-2Yr'!AE4+'Other Contracts Grnts-2Yr'!AE4+'Investment Income-2Yr'!AE4+'All Other E&amp;G-2Yr'!AE4</f>
        <v>62344623.631999999</v>
      </c>
      <c r="AF4" s="89">
        <f>+'Tuition-2Yr'!AF4+'State Appropriations-2Yr'!AF4+'Local Appropriations-2Yr'!AF4+'Fed Contracts Grnts-2Yr'!AF4+'Other Contracts Grnts-2Yr'!AF4+'Investment Income-2Yr'!AF4+'All Other E&amp;G-2Yr'!AF4</f>
        <v>53742881.866000004</v>
      </c>
      <c r="AG4" s="89">
        <f>+'Tuition-2Yr'!AG4+'State Appropriations-2Yr'!AG4+'Local Appropriations-2Yr'!AG4+'Fed Contracts Grnts-2Yr'!AG4+'Other Contracts Grnts-2Yr'!AG4+'Investment Income-2Yr'!AG4+'All Other E&amp;G-2Yr'!AG4</f>
        <v>54073284.435000002</v>
      </c>
      <c r="AH4" s="89">
        <f>+'Tuition-2Yr'!AH4+'State Appropriations-2Yr'!AH4+'Local Appropriations-2Yr'!AH4+'Fed Contracts Grnts-2Yr'!AH4+'Other Contracts Grnts-2Yr'!AH4+'Investment Income-2Yr'!AH4+'All Other E&amp;G-2Yr'!AH4</f>
        <v>64749704.844999999</v>
      </c>
      <c r="AI4" s="89">
        <f>+'Tuition-2Yr'!AI4+'State Appropriations-2Yr'!AI4+'Local Appropriations-2Yr'!AI4+'Fed Contracts Grnts-2Yr'!AI4+'Other Contracts Grnts-2Yr'!AI4+'Investment Income-2Yr'!AI4+'All Other E&amp;G-2Yr'!AI4</f>
        <v>64013976.163000003</v>
      </c>
      <c r="AJ4" s="89">
        <f>+'Tuition-2Yr'!AJ4+'State Appropriations-2Yr'!AJ4+'Local Appropriations-2Yr'!AJ4+'Fed Contracts Grnts-2Yr'!AJ4+'Other Contracts Grnts-2Yr'!AJ4+'Investment Income-2Yr'!AJ4+'All Other E&amp;G-2Yr'!AJ4</f>
        <v>0</v>
      </c>
      <c r="AK4" s="89">
        <f>+'Tuition-2Yr'!AK4+'State Appropriations-2Yr'!AK4+'Local Appropriations-2Yr'!AK4+'Fed Contracts Grnts-2Yr'!AK4+'Other Contracts Grnts-2Yr'!AK4+'Investment Income-2Yr'!AK4+'All Other E&amp;G-2Yr'!AK4</f>
        <v>74096317.243000001</v>
      </c>
    </row>
    <row r="5" spans="1:37" ht="12.75" customHeight="1">
      <c r="A5" s="1" t="s">
        <v>20</v>
      </c>
      <c r="B5" s="90">
        <f>+'Tuition-2Yr'!B5+'State Appropriations-2Yr'!B5+'Local Appropriations-2Yr'!B5+'Fed Contracts Grnts-2Yr'!B5+'Other Contracts Grnts-2Yr'!B5+'Investment Income-2Yr'!B5+'All Other E&amp;G-2Yr'!B5</f>
        <v>2767877</v>
      </c>
      <c r="C5" s="90">
        <f>+'Tuition-2Yr'!C5+'State Appropriations-2Yr'!C5+'Local Appropriations-2Yr'!C5+'Fed Contracts Grnts-2Yr'!C5+'Other Contracts Grnts-2Yr'!C5+'Investment Income-2Yr'!C5+'All Other E&amp;G-2Yr'!C5</f>
        <v>3037055</v>
      </c>
      <c r="D5" s="90">
        <f>+'Tuition-2Yr'!D5+'State Appropriations-2Yr'!D5+'Local Appropriations-2Yr'!D5+'Fed Contracts Grnts-2Yr'!D5+'Other Contracts Grnts-2Yr'!D5+'Investment Income-2Yr'!D5+'All Other E&amp;G-2Yr'!D5</f>
        <v>3273127</v>
      </c>
      <c r="E5" s="90">
        <f>+'Tuition-2Yr'!E5+'State Appropriations-2Yr'!E5+'Local Appropriations-2Yr'!E5+'Fed Contracts Grnts-2Yr'!E5+'Other Contracts Grnts-2Yr'!E5+'Investment Income-2Yr'!E5+'All Other E&amp;G-2Yr'!E5</f>
        <v>0</v>
      </c>
      <c r="F5" s="90">
        <f>+'Tuition-2Yr'!F5+'State Appropriations-2Yr'!F5+'Local Appropriations-2Yr'!F5+'Fed Contracts Grnts-2Yr'!F5+'Other Contracts Grnts-2Yr'!F5+'Investment Income-2Yr'!F5+'All Other E&amp;G-2Yr'!F5</f>
        <v>0</v>
      </c>
      <c r="G5" s="90">
        <f>+'Tuition-2Yr'!G5+'State Appropriations-2Yr'!G5+'Local Appropriations-2Yr'!G5+'Fed Contracts Grnts-2Yr'!G5+'Other Contracts Grnts-2Yr'!G5+'Investment Income-2Yr'!G5+'All Other E&amp;G-2Yr'!G5</f>
        <v>0</v>
      </c>
      <c r="H5" s="90">
        <f>+'Tuition-2Yr'!H5+'State Appropriations-2Yr'!H5+'Local Appropriations-2Yr'!H5+'Fed Contracts Grnts-2Yr'!H5+'Other Contracts Grnts-2Yr'!H5+'Investment Income-2Yr'!H5+'All Other E&amp;G-2Yr'!H5</f>
        <v>0</v>
      </c>
      <c r="I5" s="90">
        <f>+'Tuition-2Yr'!I5+'State Appropriations-2Yr'!I5+'Local Appropriations-2Yr'!I5+'Fed Contracts Grnts-2Yr'!I5+'Other Contracts Grnts-2Yr'!I5+'Investment Income-2Yr'!I5+'All Other E&amp;G-2Yr'!I5</f>
        <v>5007105.7480000006</v>
      </c>
      <c r="J5" s="90">
        <f>+'Tuition-2Yr'!J5+'State Appropriations-2Yr'!J5+'Local Appropriations-2Yr'!J5+'Fed Contracts Grnts-2Yr'!J5+'Other Contracts Grnts-2Yr'!J5+'Investment Income-2Yr'!J5+'All Other E&amp;G-2Yr'!J5</f>
        <v>5324488.1989999991</v>
      </c>
      <c r="K5" s="90">
        <f>+'Tuition-2Yr'!K5+'State Appropriations-2Yr'!K5+'Local Appropriations-2Yr'!K5+'Fed Contracts Grnts-2Yr'!K5+'Other Contracts Grnts-2Yr'!K5+'Investment Income-2Yr'!K5+'All Other E&amp;G-2Yr'!K5</f>
        <v>5834672.4709999999</v>
      </c>
      <c r="L5" s="90">
        <f>+'Tuition-2Yr'!L5+'State Appropriations-2Yr'!L5+'Local Appropriations-2Yr'!L5+'Fed Contracts Grnts-2Yr'!L5+'Other Contracts Grnts-2Yr'!L5+'Investment Income-2Yr'!L5+'All Other E&amp;G-2Yr'!L5</f>
        <v>6298374.7659999998</v>
      </c>
      <c r="M5" s="90">
        <f>+'Tuition-2Yr'!M5+'State Appropriations-2Yr'!M5+'Local Appropriations-2Yr'!M5+'Fed Contracts Grnts-2Yr'!M5+'Other Contracts Grnts-2Yr'!M5+'Investment Income-2Yr'!M5+'All Other E&amp;G-2Yr'!M5</f>
        <v>6527582.9309999989</v>
      </c>
      <c r="N5" s="90">
        <f>+'Tuition-2Yr'!N5+'State Appropriations-2Yr'!N5+'Local Appropriations-2Yr'!N5+'Fed Contracts Grnts-2Yr'!N5+'Other Contracts Grnts-2Yr'!N5+'Investment Income-2Yr'!N5+'All Other E&amp;G-2Yr'!N5</f>
        <v>6967584.5180000011</v>
      </c>
      <c r="O5" s="90">
        <f>+'Tuition-2Yr'!O5+'State Appropriations-2Yr'!O5+'Local Appropriations-2Yr'!O5+'Fed Contracts Grnts-2Yr'!O5+'Other Contracts Grnts-2Yr'!O5+'Investment Income-2Yr'!O5+'All Other E&amp;G-2Yr'!O5</f>
        <v>7344980.3687100001</v>
      </c>
      <c r="P5" s="90">
        <f>+'Tuition-2Yr'!P5+'State Appropriations-2Yr'!P5+'Local Appropriations-2Yr'!P5+'Fed Contracts Grnts-2Yr'!P5+'Other Contracts Grnts-2Yr'!P5+'Investment Income-2Yr'!P5+'All Other E&amp;G-2Yr'!P5</f>
        <v>0</v>
      </c>
      <c r="Q5" s="90">
        <f>+'Tuition-2Yr'!Q5+'State Appropriations-2Yr'!Q5+'Local Appropriations-2Yr'!Q5+'Fed Contracts Grnts-2Yr'!Q5+'Other Contracts Grnts-2Yr'!Q5+'Investment Income-2Yr'!Q5+'All Other E&amp;G-2Yr'!Q5</f>
        <v>0</v>
      </c>
      <c r="R5" s="90">
        <f>+'Tuition-2Yr'!R5+'State Appropriations-2Yr'!R5+'Local Appropriations-2Yr'!R5+'Fed Contracts Grnts-2Yr'!R5+'Other Contracts Grnts-2Yr'!R5+'Investment Income-2Yr'!R5+'All Other E&amp;G-2Yr'!R5</f>
        <v>9225692.879999999</v>
      </c>
      <c r="S5" s="90">
        <f>+'Tuition-2Yr'!S5+'State Appropriations-2Yr'!S5+'Local Appropriations-2Yr'!S5+'Fed Contracts Grnts-2Yr'!S5+'Other Contracts Grnts-2Yr'!S5+'Investment Income-2Yr'!S5+'All Other E&amp;G-2Yr'!S5</f>
        <v>10378305.832000002</v>
      </c>
      <c r="T5" s="90">
        <f>+'Tuition-2Yr'!T5+'State Appropriations-2Yr'!T5+'Local Appropriations-2Yr'!T5+'Fed Contracts Grnts-2Yr'!T5+'Other Contracts Grnts-2Yr'!T5+'Investment Income-2Yr'!T5+'All Other E&amp;G-2Yr'!T5</f>
        <v>10522965.968999999</v>
      </c>
      <c r="U5" s="90">
        <f>+'Tuition-2Yr'!U5+'State Appropriations-2Yr'!U5+'Local Appropriations-2Yr'!U5+'Fed Contracts Grnts-2Yr'!U5+'Other Contracts Grnts-2Yr'!U5+'Investment Income-2Yr'!U5+'All Other E&amp;G-2Yr'!U5</f>
        <v>10338962.653000001</v>
      </c>
      <c r="V5" s="90">
        <f>+'Tuition-2Yr'!V5+'State Appropriations-2Yr'!V5+'Local Appropriations-2Yr'!V5+'Fed Contracts Grnts-2Yr'!V5+'Other Contracts Grnts-2Yr'!V5+'Investment Income-2Yr'!V5+'All Other E&amp;G-2Yr'!V5</f>
        <v>10614681.744999999</v>
      </c>
      <c r="W5" s="90">
        <f>+'Tuition-2Yr'!W5+'State Appropriations-2Yr'!W5+'Local Appropriations-2Yr'!W5+'Fed Contracts Grnts-2Yr'!W5+'Other Contracts Grnts-2Yr'!W5+'Investment Income-2Yr'!W5+'All Other E&amp;G-2Yr'!W5</f>
        <v>12513385.175999999</v>
      </c>
      <c r="X5" s="90">
        <f>+'Tuition-2Yr'!X5+'State Appropriations-2Yr'!X5+'Local Appropriations-2Yr'!X5+'Fed Contracts Grnts-2Yr'!X5+'Other Contracts Grnts-2Yr'!X5+'Investment Income-2Yr'!X5+'All Other E&amp;G-2Yr'!X5</f>
        <v>12287187.232999999</v>
      </c>
      <c r="Y5" s="90">
        <f>+'Tuition-2Yr'!Y5+'State Appropriations-2Yr'!Y5+'Local Appropriations-2Yr'!Y5+'Fed Contracts Grnts-2Yr'!Y5+'Other Contracts Grnts-2Yr'!Y5+'Investment Income-2Yr'!Y5+'All Other E&amp;G-2Yr'!Y5</f>
        <v>13500421.553999998</v>
      </c>
      <c r="Z5" s="90">
        <f>+'Tuition-2Yr'!Z5+'State Appropriations-2Yr'!Z5+'Local Appropriations-2Yr'!Z5+'Fed Contracts Grnts-2Yr'!Z5+'Other Contracts Grnts-2Yr'!Z5+'Investment Income-2Yr'!Z5+'All Other E&amp;G-2Yr'!Z5</f>
        <v>14649474.143999999</v>
      </c>
      <c r="AA5" s="90">
        <f>+'Tuition-2Yr'!AA5+'State Appropriations-2Yr'!AA5+'Local Appropriations-2Yr'!AA5+'Fed Contracts Grnts-2Yr'!AA5+'Other Contracts Grnts-2Yr'!AA5+'Investment Income-2Yr'!AA5+'All Other E&amp;G-2Yr'!AA5</f>
        <v>16563797.162</v>
      </c>
      <c r="AB5" s="90">
        <f>+'Tuition-2Yr'!AB5+'State Appropriations-2Yr'!AB5+'Local Appropriations-2Yr'!AB5+'Fed Contracts Grnts-2Yr'!AB5+'Other Contracts Grnts-2Yr'!AB5+'Investment Income-2Yr'!AB5+'All Other E&amp;G-2Yr'!AB5</f>
        <v>20460481.280999999</v>
      </c>
      <c r="AC5" s="90">
        <f>+'Tuition-2Yr'!AC5+'State Appropriations-2Yr'!AC5+'Local Appropriations-2Yr'!AC5+'Fed Contracts Grnts-2Yr'!AC5+'Other Contracts Grnts-2Yr'!AC5+'Investment Income-2Yr'!AC5+'All Other E&amp;G-2Yr'!AC5</f>
        <v>22180191</v>
      </c>
      <c r="AD5" s="90">
        <f>+'Tuition-2Yr'!AD5+'State Appropriations-2Yr'!AD5+'Local Appropriations-2Yr'!AD5+'Fed Contracts Grnts-2Yr'!AD5+'Other Contracts Grnts-2Yr'!AD5+'Investment Income-2Yr'!AD5+'All Other E&amp;G-2Yr'!AD5</f>
        <v>21984982.814000007</v>
      </c>
      <c r="AE5" s="90">
        <f>+'Tuition-2Yr'!AE5+'State Appropriations-2Yr'!AE5+'Local Appropriations-2Yr'!AE5+'Fed Contracts Grnts-2Yr'!AE5+'Other Contracts Grnts-2Yr'!AE5+'Investment Income-2Yr'!AE5+'All Other E&amp;G-2Yr'!AE5</f>
        <v>21588192.445999999</v>
      </c>
      <c r="AF5" s="90">
        <f>+'Tuition-2Yr'!AF5+'State Appropriations-2Yr'!AF5+'Local Appropriations-2Yr'!AF5+'Fed Contracts Grnts-2Yr'!AF5+'Other Contracts Grnts-2Yr'!AF5+'Investment Income-2Yr'!AF5+'All Other E&amp;G-2Yr'!AF5</f>
        <v>20633276.966000002</v>
      </c>
      <c r="AG5" s="90">
        <f>+'Tuition-2Yr'!AG5+'State Appropriations-2Yr'!AG5+'Local Appropriations-2Yr'!AG5+'Fed Contracts Grnts-2Yr'!AG5+'Other Contracts Grnts-2Yr'!AG5+'Investment Income-2Yr'!AG5+'All Other E&amp;G-2Yr'!AG5</f>
        <v>20688347.111000001</v>
      </c>
      <c r="AH5" s="90">
        <f>+'Tuition-2Yr'!AH5+'State Appropriations-2Yr'!AH5+'Local Appropriations-2Yr'!AH5+'Fed Contracts Grnts-2Yr'!AH5+'Other Contracts Grnts-2Yr'!AH5+'Investment Income-2Yr'!AH5+'All Other E&amp;G-2Yr'!AH5</f>
        <v>21883309.809999999</v>
      </c>
      <c r="AI5" s="90">
        <f>+'Tuition-2Yr'!AI5+'State Appropriations-2Yr'!AI5+'Local Appropriations-2Yr'!AI5+'Fed Contracts Grnts-2Yr'!AI5+'Other Contracts Grnts-2Yr'!AI5+'Investment Income-2Yr'!AI5+'All Other E&amp;G-2Yr'!AI5</f>
        <v>20864472.748</v>
      </c>
      <c r="AJ5" s="90">
        <f>+'Tuition-2Yr'!AJ5+'State Appropriations-2Yr'!AJ5+'Local Appropriations-2Yr'!AJ5+'Fed Contracts Grnts-2Yr'!AJ5+'Other Contracts Grnts-2Yr'!AJ5+'Investment Income-2Yr'!AJ5+'All Other E&amp;G-2Yr'!AJ5</f>
        <v>0</v>
      </c>
      <c r="AK5" s="90">
        <f>+'Tuition-2Yr'!AK5+'State Appropriations-2Yr'!AK5+'Local Appropriations-2Yr'!AK5+'Fed Contracts Grnts-2Yr'!AK5+'Other Contracts Grnts-2Yr'!AK5+'Investment Income-2Yr'!AK5+'All Other E&amp;G-2Yr'!AK5</f>
        <v>24411765.838</v>
      </c>
    </row>
    <row r="6" spans="1:37" ht="12.75" customHeight="1">
      <c r="A6" s="6" t="s">
        <v>94</v>
      </c>
      <c r="B6" s="90">
        <f>+'Tuition-2Yr'!B6+'State Appropriations-2Yr'!B6+'Local Appropriations-2Yr'!B6+'Fed Contracts Grnts-2Yr'!B6+'Other Contracts Grnts-2Yr'!B6+'Investment Income-2Yr'!B6+'All Other E&amp;G-2Yr'!B6</f>
        <v>0</v>
      </c>
      <c r="C6" s="90">
        <f>+'Tuition-2Yr'!C6+'State Appropriations-2Yr'!C6+'Local Appropriations-2Yr'!C6+'Fed Contracts Grnts-2Yr'!C6+'Other Contracts Grnts-2Yr'!C6+'Investment Income-2Yr'!C6+'All Other E&amp;G-2Yr'!C6</f>
        <v>0</v>
      </c>
      <c r="D6" s="90">
        <f>+'Tuition-2Yr'!D6+'State Appropriations-2Yr'!D6+'Local Appropriations-2Yr'!D6+'Fed Contracts Grnts-2Yr'!D6+'Other Contracts Grnts-2Yr'!D6+'Investment Income-2Yr'!D6+'All Other E&amp;G-2Yr'!D6</f>
        <v>0</v>
      </c>
      <c r="E6" s="90">
        <f>+'Tuition-2Yr'!E6+'State Appropriations-2Yr'!E6+'Local Appropriations-2Yr'!E6+'Fed Contracts Grnts-2Yr'!E6+'Other Contracts Grnts-2Yr'!E6+'Investment Income-2Yr'!E6+'All Other E&amp;G-2Yr'!E6</f>
        <v>0</v>
      </c>
      <c r="F6" s="90">
        <f>+'Tuition-2Yr'!F6+'State Appropriations-2Yr'!F6+'Local Appropriations-2Yr'!F6+'Fed Contracts Grnts-2Yr'!F6+'Other Contracts Grnts-2Yr'!F6+'Investment Income-2Yr'!F6+'All Other E&amp;G-2Yr'!F6</f>
        <v>0</v>
      </c>
      <c r="G6" s="90">
        <f>+'Tuition-2Yr'!G6+'State Appropriations-2Yr'!G6+'Local Appropriations-2Yr'!G6+'Fed Contracts Grnts-2Yr'!G6+'Other Contracts Grnts-2Yr'!G6+'Investment Income-2Yr'!G6+'All Other E&amp;G-2Yr'!G6</f>
        <v>0</v>
      </c>
      <c r="H6" s="90">
        <f>+'Tuition-2Yr'!H6+'State Appropriations-2Yr'!H6+'Local Appropriations-2Yr'!H6+'Fed Contracts Grnts-2Yr'!H6+'Other Contracts Grnts-2Yr'!H6+'Investment Income-2Yr'!H6+'All Other E&amp;G-2Yr'!H6</f>
        <v>0</v>
      </c>
      <c r="I6" s="90">
        <f>+'Tuition-2Yr'!I6+'State Appropriations-2Yr'!I6+'Local Appropriations-2Yr'!I6+'Fed Contracts Grnts-2Yr'!I6+'Other Contracts Grnts-2Yr'!I6+'Investment Income-2Yr'!I6+'All Other E&amp;G-2Yr'!I6</f>
        <v>0</v>
      </c>
      <c r="J6" s="90">
        <f>+'Tuition-2Yr'!J6+'State Appropriations-2Yr'!J6+'Local Appropriations-2Yr'!J6+'Fed Contracts Grnts-2Yr'!J6+'Other Contracts Grnts-2Yr'!J6+'Investment Income-2Yr'!J6+'All Other E&amp;G-2Yr'!J6</f>
        <v>0</v>
      </c>
      <c r="K6" s="90">
        <f>+'Tuition-2Yr'!K6+'State Appropriations-2Yr'!K6+'Local Appropriations-2Yr'!K6+'Fed Contracts Grnts-2Yr'!K6+'Other Contracts Grnts-2Yr'!K6+'Investment Income-2Yr'!K6+'All Other E&amp;G-2Yr'!K6</f>
        <v>0</v>
      </c>
      <c r="L6" s="90">
        <f>+'Tuition-2Yr'!L6+'State Appropriations-2Yr'!L6+'Local Appropriations-2Yr'!L6+'Fed Contracts Grnts-2Yr'!L6+'Other Contracts Grnts-2Yr'!L6+'Investment Income-2Yr'!L6+'All Other E&amp;G-2Yr'!L6</f>
        <v>0</v>
      </c>
      <c r="M6" s="90">
        <f>+'Tuition-2Yr'!M6+'State Appropriations-2Yr'!M6+'Local Appropriations-2Yr'!M6+'Fed Contracts Grnts-2Yr'!M6+'Other Contracts Grnts-2Yr'!M6+'Investment Income-2Yr'!M6+'All Other E&amp;G-2Yr'!M6</f>
        <v>0</v>
      </c>
      <c r="N6" s="90">
        <f>+'Tuition-2Yr'!N6+'State Appropriations-2Yr'!N6+'Local Appropriations-2Yr'!N6+'Fed Contracts Grnts-2Yr'!N6+'Other Contracts Grnts-2Yr'!N6+'Investment Income-2Yr'!N6+'All Other E&amp;G-2Yr'!N6</f>
        <v>0</v>
      </c>
      <c r="O6" s="90">
        <f>+'Tuition-2Yr'!O6+'State Appropriations-2Yr'!O6+'Local Appropriations-2Yr'!O6+'Fed Contracts Grnts-2Yr'!O6+'Other Contracts Grnts-2Yr'!O6+'Investment Income-2Yr'!O6+'All Other E&amp;G-2Yr'!O6</f>
        <v>0</v>
      </c>
      <c r="P6" s="90">
        <f>+'Tuition-2Yr'!P6+'State Appropriations-2Yr'!P6+'Local Appropriations-2Yr'!P6+'Fed Contracts Grnts-2Yr'!P6+'Other Contracts Grnts-2Yr'!P6+'Investment Income-2Yr'!P6+'All Other E&amp;G-2Yr'!P6</f>
        <v>0</v>
      </c>
      <c r="Q6" s="90">
        <f>+'Tuition-2Yr'!Q6+'State Appropriations-2Yr'!Q6+'Local Appropriations-2Yr'!Q6+'Fed Contracts Grnts-2Yr'!Q6+'Other Contracts Grnts-2Yr'!Q6+'Investment Income-2Yr'!Q6+'All Other E&amp;G-2Yr'!Q6</f>
        <v>0</v>
      </c>
      <c r="R6" s="90">
        <f>+'Tuition-2Yr'!R6+'State Appropriations-2Yr'!R6+'Local Appropriations-2Yr'!R6+'Fed Contracts Grnts-2Yr'!R6+'Other Contracts Grnts-2Yr'!R6+'Investment Income-2Yr'!R6+'All Other E&amp;G-2Yr'!R6</f>
        <v>0</v>
      </c>
      <c r="S6" s="90">
        <f>+'Tuition-2Yr'!S6+'State Appropriations-2Yr'!S6+'Local Appropriations-2Yr'!S6+'Fed Contracts Grnts-2Yr'!S6+'Other Contracts Grnts-2Yr'!S6+'Investment Income-2Yr'!S6+'All Other E&amp;G-2Yr'!S6</f>
        <v>0</v>
      </c>
      <c r="T6" s="90">
        <f>+'Tuition-2Yr'!T6+'State Appropriations-2Yr'!T6+'Local Appropriations-2Yr'!T6+'Fed Contracts Grnts-2Yr'!T6+'Other Contracts Grnts-2Yr'!T6+'Investment Income-2Yr'!T6+'All Other E&amp;G-2Yr'!T6</f>
        <v>0</v>
      </c>
      <c r="U6" s="90">
        <f>+'Tuition-2Yr'!U6+'State Appropriations-2Yr'!U6+'Local Appropriations-2Yr'!U6+'Fed Contracts Grnts-2Yr'!U6+'Other Contracts Grnts-2Yr'!U6+'Investment Income-2Yr'!U6+'All Other E&amp;G-2Yr'!U6</f>
        <v>0</v>
      </c>
      <c r="V6" s="90">
        <f>+'Tuition-2Yr'!V6+'State Appropriations-2Yr'!V6+'Local Appropriations-2Yr'!V6+'Fed Contracts Grnts-2Yr'!V6+'Other Contracts Grnts-2Yr'!V6+'Investment Income-2Yr'!V6+'All Other E&amp;G-2Yr'!V6</f>
        <v>0</v>
      </c>
      <c r="W6" s="90">
        <f>+'Tuition-2Yr'!W6+'State Appropriations-2Yr'!W6+'Local Appropriations-2Yr'!W6+'Fed Contracts Grnts-2Yr'!W6+'Other Contracts Grnts-2Yr'!W6+'Investment Income-2Yr'!W6+'All Other E&amp;G-2Yr'!W6</f>
        <v>0</v>
      </c>
      <c r="X6" s="90">
        <f>+'Tuition-2Yr'!X6+'State Appropriations-2Yr'!X6+'Local Appropriations-2Yr'!X6+'Fed Contracts Grnts-2Yr'!X6+'Other Contracts Grnts-2Yr'!X6+'Investment Income-2Yr'!X6+'All Other E&amp;G-2Yr'!X6</f>
        <v>0</v>
      </c>
      <c r="Y6" s="90">
        <f>+'Tuition-2Yr'!Y6+'State Appropriations-2Yr'!Y6+'Local Appropriations-2Yr'!Y6+'Fed Contracts Grnts-2Yr'!Y6+'Other Contracts Grnts-2Yr'!Y6+'Investment Income-2Yr'!Y6+'All Other E&amp;G-2Yr'!Y6</f>
        <v>0</v>
      </c>
      <c r="Z6" s="90">
        <f>+'Tuition-2Yr'!Z6+'State Appropriations-2Yr'!Z6+'Local Appropriations-2Yr'!Z6+'Fed Contracts Grnts-2Yr'!Z6+'Other Contracts Grnts-2Yr'!Z6+'Investment Income-2Yr'!Z6+'All Other E&amp;G-2Yr'!Z6</f>
        <v>0</v>
      </c>
      <c r="AA6" s="90">
        <f>+'Tuition-2Yr'!AA6+'State Appropriations-2Yr'!AA6+'Local Appropriations-2Yr'!AA6+'Fed Contracts Grnts-2Yr'!AA6+'Other Contracts Grnts-2Yr'!AA6+'Investment Income-2Yr'!AA6+'All Other E&amp;G-2Yr'!AA6</f>
        <v>0</v>
      </c>
      <c r="AB6" s="90">
        <f>+'Tuition-2Yr'!AB6+'State Appropriations-2Yr'!AB6+'Local Appropriations-2Yr'!AB6+'Fed Contracts Grnts-2Yr'!AB6+'Other Contracts Grnts-2Yr'!AB6+'Investment Income-2Yr'!AB6+'All Other E&amp;G-2Yr'!AB6</f>
        <v>0</v>
      </c>
      <c r="AC6" s="90">
        <f>+'Tuition-2Yr'!AC6+'State Appropriations-2Yr'!AC6+'Local Appropriations-2Yr'!AC6+'Fed Contracts Grnts-2Yr'!AC6+'Other Contracts Grnts-2Yr'!AC6+'Investment Income-2Yr'!AC6+'All Other E&amp;G-2Yr'!AC6</f>
        <v>0</v>
      </c>
      <c r="AD6" s="90">
        <f>+'Tuition-2Yr'!AD6+'State Appropriations-2Yr'!AD6+'Local Appropriations-2Yr'!AD6+'Fed Contracts Grnts-2Yr'!AD6+'Other Contracts Grnts-2Yr'!AD6+'Investment Income-2Yr'!AD6+'All Other E&amp;G-2Yr'!AD6</f>
        <v>0</v>
      </c>
      <c r="AE6" s="90">
        <f>+'Tuition-2Yr'!AE6+'State Appropriations-2Yr'!AE6+'Local Appropriations-2Yr'!AE6+'Fed Contracts Grnts-2Yr'!AE6+'Other Contracts Grnts-2Yr'!AE6+'Investment Income-2Yr'!AE6+'All Other E&amp;G-2Yr'!AE6</f>
        <v>0</v>
      </c>
      <c r="AF6" s="90">
        <f>+'Tuition-2Yr'!AF6+'State Appropriations-2Yr'!AF6+'Local Appropriations-2Yr'!AF6+'Fed Contracts Grnts-2Yr'!AF6+'Other Contracts Grnts-2Yr'!AF6+'Investment Income-2Yr'!AF6+'All Other E&amp;G-2Yr'!AF6</f>
        <v>0</v>
      </c>
      <c r="AG6" s="90">
        <f>+'Tuition-2Yr'!AG6+'State Appropriations-2Yr'!AG6+'Local Appropriations-2Yr'!AG6+'Fed Contracts Grnts-2Yr'!AG6+'Other Contracts Grnts-2Yr'!AG6+'Investment Income-2Yr'!AG6+'All Other E&amp;G-2Yr'!AG6</f>
        <v>0</v>
      </c>
      <c r="AH6" s="90">
        <f>+'Tuition-2Yr'!AH6+'State Appropriations-2Yr'!AH6+'Local Appropriations-2Yr'!AH6+'Fed Contracts Grnts-2Yr'!AH6+'Other Contracts Grnts-2Yr'!AH6+'Investment Income-2Yr'!AH6+'All Other E&amp;G-2Yr'!AH6</f>
        <v>0</v>
      </c>
      <c r="AI6" s="90">
        <f>+'Tuition-2Yr'!AI6+'State Appropriations-2Yr'!AI6+'Local Appropriations-2Yr'!AI6+'Fed Contracts Grnts-2Yr'!AI6+'Other Contracts Grnts-2Yr'!AI6+'Investment Income-2Yr'!AI6+'All Other E&amp;G-2Yr'!AI6</f>
        <v>0</v>
      </c>
      <c r="AJ6" s="90">
        <f>+'Tuition-2Yr'!AJ6+'State Appropriations-2Yr'!AJ6+'Local Appropriations-2Yr'!AJ6+'Fed Contracts Grnts-2Yr'!AJ6+'Other Contracts Grnts-2Yr'!AJ6+'Investment Income-2Yr'!AJ6+'All Other E&amp;G-2Yr'!AJ6</f>
        <v>0</v>
      </c>
      <c r="AK6" s="90">
        <f>+'Tuition-2Yr'!AK6+'State Appropriations-2Yr'!AK6+'Local Appropriations-2Yr'!AK6+'Fed Contracts Grnts-2Yr'!AK6+'Other Contracts Grnts-2Yr'!AK6+'Investment Income-2Yr'!AK6+'All Other E&amp;G-2Yr'!AK6</f>
        <v>0</v>
      </c>
    </row>
    <row r="7" spans="1:37" ht="12.75" customHeight="1">
      <c r="A7" s="1" t="s">
        <v>21</v>
      </c>
      <c r="B7" s="90">
        <f>+'Tuition-2Yr'!B7+'State Appropriations-2Yr'!B7+'Local Appropriations-2Yr'!B7+'Fed Contracts Grnts-2Yr'!B7+'Other Contracts Grnts-2Yr'!B7+'Investment Income-2Yr'!B7+'All Other E&amp;G-2Yr'!B7</f>
        <v>103463</v>
      </c>
      <c r="C7" s="90">
        <f>+'Tuition-2Yr'!C7+'State Appropriations-2Yr'!C7+'Local Appropriations-2Yr'!C7+'Fed Contracts Grnts-2Yr'!C7+'Other Contracts Grnts-2Yr'!C7+'Investment Income-2Yr'!C7+'All Other E&amp;G-2Yr'!C7</f>
        <v>154527</v>
      </c>
      <c r="D7" s="90">
        <f>+'Tuition-2Yr'!D7+'State Appropriations-2Yr'!D7+'Local Appropriations-2Yr'!D7+'Fed Contracts Grnts-2Yr'!D7+'Other Contracts Grnts-2Yr'!D7+'Investment Income-2Yr'!D7+'All Other E&amp;G-2Yr'!D7</f>
        <v>178048</v>
      </c>
      <c r="E7" s="90">
        <f>+'Tuition-2Yr'!E7+'State Appropriations-2Yr'!E7+'Local Appropriations-2Yr'!E7+'Fed Contracts Grnts-2Yr'!E7+'Other Contracts Grnts-2Yr'!E7+'Investment Income-2Yr'!E7+'All Other E&amp;G-2Yr'!E7</f>
        <v>0</v>
      </c>
      <c r="F7" s="90">
        <f>+'Tuition-2Yr'!F7+'State Appropriations-2Yr'!F7+'Local Appropriations-2Yr'!F7+'Fed Contracts Grnts-2Yr'!F7+'Other Contracts Grnts-2Yr'!F7+'Investment Income-2Yr'!F7+'All Other E&amp;G-2Yr'!F7</f>
        <v>0</v>
      </c>
      <c r="G7" s="90">
        <f>+'Tuition-2Yr'!G7+'State Appropriations-2Yr'!G7+'Local Appropriations-2Yr'!G7+'Fed Contracts Grnts-2Yr'!G7+'Other Contracts Grnts-2Yr'!G7+'Investment Income-2Yr'!G7+'All Other E&amp;G-2Yr'!G7</f>
        <v>0</v>
      </c>
      <c r="H7" s="90">
        <f>+'Tuition-2Yr'!H7+'State Appropriations-2Yr'!H7+'Local Appropriations-2Yr'!H7+'Fed Contracts Grnts-2Yr'!H7+'Other Contracts Grnts-2Yr'!H7+'Investment Income-2Yr'!H7+'All Other E&amp;G-2Yr'!H7</f>
        <v>0</v>
      </c>
      <c r="I7" s="90">
        <f>+'Tuition-2Yr'!I7+'State Appropriations-2Yr'!I7+'Local Appropriations-2Yr'!I7+'Fed Contracts Grnts-2Yr'!I7+'Other Contracts Grnts-2Yr'!I7+'Investment Income-2Yr'!I7+'All Other E&amp;G-2Yr'!I7</f>
        <v>262185.45</v>
      </c>
      <c r="J7" s="90">
        <f>+'Tuition-2Yr'!J7+'State Appropriations-2Yr'!J7+'Local Appropriations-2Yr'!J7+'Fed Contracts Grnts-2Yr'!J7+'Other Contracts Grnts-2Yr'!J7+'Investment Income-2Yr'!J7+'All Other E&amp;G-2Yr'!J7</f>
        <v>294281.70199999999</v>
      </c>
      <c r="K7" s="90">
        <f>+'Tuition-2Yr'!K7+'State Appropriations-2Yr'!K7+'Local Appropriations-2Yr'!K7+'Fed Contracts Grnts-2Yr'!K7+'Other Contracts Grnts-2Yr'!K7+'Investment Income-2Yr'!K7+'All Other E&amp;G-2Yr'!K7</f>
        <v>320959.78500000003</v>
      </c>
      <c r="L7" s="90">
        <f>+'Tuition-2Yr'!L7+'State Appropriations-2Yr'!L7+'Local Appropriations-2Yr'!L7+'Fed Contracts Grnts-2Yr'!L7+'Other Contracts Grnts-2Yr'!L7+'Investment Income-2Yr'!L7+'All Other E&amp;G-2Yr'!L7</f>
        <v>353763.25199999998</v>
      </c>
      <c r="M7" s="90">
        <f>+'Tuition-2Yr'!M7+'State Appropriations-2Yr'!M7+'Local Appropriations-2Yr'!M7+'Fed Contracts Grnts-2Yr'!M7+'Other Contracts Grnts-2Yr'!M7+'Investment Income-2Yr'!M7+'All Other E&amp;G-2Yr'!M7</f>
        <v>365403.74700000003</v>
      </c>
      <c r="N7" s="90">
        <f>+'Tuition-2Yr'!N7+'State Appropriations-2Yr'!N7+'Local Appropriations-2Yr'!N7+'Fed Contracts Grnts-2Yr'!N7+'Other Contracts Grnts-2Yr'!N7+'Investment Income-2Yr'!N7+'All Other E&amp;G-2Yr'!N7</f>
        <v>375673.56299999997</v>
      </c>
      <c r="O7" s="90">
        <f>+'Tuition-2Yr'!O7+'State Appropriations-2Yr'!O7+'Local Appropriations-2Yr'!O7+'Fed Contracts Grnts-2Yr'!O7+'Other Contracts Grnts-2Yr'!O7+'Investment Income-2Yr'!O7+'All Other E&amp;G-2Yr'!O7</f>
        <v>388550.92608000006</v>
      </c>
      <c r="P7" s="90">
        <f>+'Tuition-2Yr'!P7+'State Appropriations-2Yr'!P7+'Local Appropriations-2Yr'!P7+'Fed Contracts Grnts-2Yr'!P7+'Other Contracts Grnts-2Yr'!P7+'Investment Income-2Yr'!P7+'All Other E&amp;G-2Yr'!P7</f>
        <v>0</v>
      </c>
      <c r="Q7" s="90">
        <f>+'Tuition-2Yr'!Q7+'State Appropriations-2Yr'!Q7+'Local Appropriations-2Yr'!Q7+'Fed Contracts Grnts-2Yr'!Q7+'Other Contracts Grnts-2Yr'!Q7+'Investment Income-2Yr'!Q7+'All Other E&amp;G-2Yr'!Q7</f>
        <v>0</v>
      </c>
      <c r="R7" s="90">
        <f>+'Tuition-2Yr'!R7+'State Appropriations-2Yr'!R7+'Local Appropriations-2Yr'!R7+'Fed Contracts Grnts-2Yr'!R7+'Other Contracts Grnts-2Yr'!R7+'Investment Income-2Yr'!R7+'All Other E&amp;G-2Yr'!R7</f>
        <v>449006.77699999994</v>
      </c>
      <c r="S7" s="90">
        <f>+'Tuition-2Yr'!S7+'State Appropriations-2Yr'!S7+'Local Appropriations-2Yr'!S7+'Fed Contracts Grnts-2Yr'!S7+'Other Contracts Grnts-2Yr'!S7+'Investment Income-2Yr'!S7+'All Other E&amp;G-2Yr'!S7</f>
        <v>483151.83000000007</v>
      </c>
      <c r="T7" s="90">
        <f>+'Tuition-2Yr'!T7+'State Appropriations-2Yr'!T7+'Local Appropriations-2Yr'!T7+'Fed Contracts Grnts-2Yr'!T7+'Other Contracts Grnts-2Yr'!T7+'Investment Income-2Yr'!T7+'All Other E&amp;G-2Yr'!T7</f>
        <v>544237.76699999999</v>
      </c>
      <c r="U7" s="90">
        <f>+'Tuition-2Yr'!U7+'State Appropriations-2Yr'!U7+'Local Appropriations-2Yr'!U7+'Fed Contracts Grnts-2Yr'!U7+'Other Contracts Grnts-2Yr'!U7+'Investment Income-2Yr'!U7+'All Other E&amp;G-2Yr'!U7</f>
        <v>517126.66499999998</v>
      </c>
      <c r="V7" s="90">
        <f>+'Tuition-2Yr'!V7+'State Appropriations-2Yr'!V7+'Local Appropriations-2Yr'!V7+'Fed Contracts Grnts-2Yr'!V7+'Other Contracts Grnts-2Yr'!V7+'Investment Income-2Yr'!V7+'All Other E&amp;G-2Yr'!V7</f>
        <v>533654.60599999991</v>
      </c>
      <c r="W7" s="90">
        <f>+'Tuition-2Yr'!W7+'State Appropriations-2Yr'!W7+'Local Appropriations-2Yr'!W7+'Fed Contracts Grnts-2Yr'!W7+'Other Contracts Grnts-2Yr'!W7+'Investment Income-2Yr'!W7+'All Other E&amp;G-2Yr'!W7</f>
        <v>626936.18999999994</v>
      </c>
      <c r="X7" s="90">
        <f>+'Tuition-2Yr'!X7+'State Appropriations-2Yr'!X7+'Local Appropriations-2Yr'!X7+'Fed Contracts Grnts-2Yr'!X7+'Other Contracts Grnts-2Yr'!X7+'Investment Income-2Yr'!X7+'All Other E&amp;G-2Yr'!X7</f>
        <v>603823.69799999997</v>
      </c>
      <c r="Y7" s="90">
        <f>+'Tuition-2Yr'!Y7+'State Appropriations-2Yr'!Y7+'Local Appropriations-2Yr'!Y7+'Fed Contracts Grnts-2Yr'!Y7+'Other Contracts Grnts-2Yr'!Y7+'Investment Income-2Yr'!Y7+'All Other E&amp;G-2Yr'!Y7</f>
        <v>648678.39899999998</v>
      </c>
      <c r="Z7" s="90">
        <f>+'Tuition-2Yr'!Z7+'State Appropriations-2Yr'!Z7+'Local Appropriations-2Yr'!Z7+'Fed Contracts Grnts-2Yr'!Z7+'Other Contracts Grnts-2Yr'!Z7+'Investment Income-2Yr'!Z7+'All Other E&amp;G-2Yr'!Z7</f>
        <v>724601.28100000008</v>
      </c>
      <c r="AA7" s="90">
        <f>+'Tuition-2Yr'!AA7+'State Appropriations-2Yr'!AA7+'Local Appropriations-2Yr'!AA7+'Fed Contracts Grnts-2Yr'!AA7+'Other Contracts Grnts-2Yr'!AA7+'Investment Income-2Yr'!AA7+'All Other E&amp;G-2Yr'!AA7</f>
        <v>748501.06599999999</v>
      </c>
      <c r="AB7" s="90">
        <f>+'Tuition-2Yr'!AB7+'State Appropriations-2Yr'!AB7+'Local Appropriations-2Yr'!AB7+'Fed Contracts Grnts-2Yr'!AB7+'Other Contracts Grnts-2Yr'!AB7+'Investment Income-2Yr'!AB7+'All Other E&amp;G-2Yr'!AB7</f>
        <v>952649.46200000006</v>
      </c>
      <c r="AC7" s="90">
        <f>+'Tuition-2Yr'!AC7+'State Appropriations-2Yr'!AC7+'Local Appropriations-2Yr'!AC7+'Fed Contracts Grnts-2Yr'!AC7+'Other Contracts Grnts-2Yr'!AC7+'Investment Income-2Yr'!AC7+'All Other E&amp;G-2Yr'!AC7</f>
        <v>988559</v>
      </c>
      <c r="AD7" s="90">
        <f>+'Tuition-2Yr'!AD7+'State Appropriations-2Yr'!AD7+'Local Appropriations-2Yr'!AD7+'Fed Contracts Grnts-2Yr'!AD7+'Other Contracts Grnts-2Yr'!AD7+'Investment Income-2Yr'!AD7+'All Other E&amp;G-2Yr'!AD7</f>
        <v>961550.35399999993</v>
      </c>
      <c r="AE7" s="90">
        <f>+'Tuition-2Yr'!AE7+'State Appropriations-2Yr'!AE7+'Local Appropriations-2Yr'!AE7+'Fed Contracts Grnts-2Yr'!AE7+'Other Contracts Grnts-2Yr'!AE7+'Investment Income-2Yr'!AE7+'All Other E&amp;G-2Yr'!AE7</f>
        <v>910385.24600000004</v>
      </c>
      <c r="AF7" s="90">
        <f>+'Tuition-2Yr'!AF7+'State Appropriations-2Yr'!AF7+'Local Appropriations-2Yr'!AF7+'Fed Contracts Grnts-2Yr'!AF7+'Other Contracts Grnts-2Yr'!AF7+'Investment Income-2Yr'!AF7+'All Other E&amp;G-2Yr'!AF7</f>
        <v>831096.45400000014</v>
      </c>
      <c r="AG7" s="90">
        <f>+'Tuition-2Yr'!AG7+'State Appropriations-2Yr'!AG7+'Local Appropriations-2Yr'!AG7+'Fed Contracts Grnts-2Yr'!AG7+'Other Contracts Grnts-2Yr'!AG7+'Investment Income-2Yr'!AG7+'All Other E&amp;G-2Yr'!AG7</f>
        <v>814957.85200000019</v>
      </c>
      <c r="AH7" s="90">
        <f>+'Tuition-2Yr'!AH7+'State Appropriations-2Yr'!AH7+'Local Appropriations-2Yr'!AH7+'Fed Contracts Grnts-2Yr'!AH7+'Other Contracts Grnts-2Yr'!AH7+'Investment Income-2Yr'!AH7+'All Other E&amp;G-2Yr'!AH7</f>
        <v>840702.52399999998</v>
      </c>
      <c r="AI7" s="90">
        <f>+'Tuition-2Yr'!AI7+'State Appropriations-2Yr'!AI7+'Local Appropriations-2Yr'!AI7+'Fed Contracts Grnts-2Yr'!AI7+'Other Contracts Grnts-2Yr'!AI7+'Investment Income-2Yr'!AI7+'All Other E&amp;G-2Yr'!AI7</f>
        <v>797407.99200000009</v>
      </c>
      <c r="AJ7" s="90">
        <f>+'Tuition-2Yr'!AJ7+'State Appropriations-2Yr'!AJ7+'Local Appropriations-2Yr'!AJ7+'Fed Contracts Grnts-2Yr'!AJ7+'Other Contracts Grnts-2Yr'!AJ7+'Investment Income-2Yr'!AJ7+'All Other E&amp;G-2Yr'!AJ7</f>
        <v>0</v>
      </c>
      <c r="AK7" s="90">
        <f>+'Tuition-2Yr'!AK7+'State Appropriations-2Yr'!AK7+'Local Appropriations-2Yr'!AK7+'Fed Contracts Grnts-2Yr'!AK7+'Other Contracts Grnts-2Yr'!AK7+'Investment Income-2Yr'!AK7+'All Other E&amp;G-2Yr'!AK7</f>
        <v>935961.98700000008</v>
      </c>
    </row>
    <row r="8" spans="1:37" ht="12.75" customHeight="1">
      <c r="A8" s="1" t="s">
        <v>22</v>
      </c>
      <c r="B8" s="90">
        <f>+'Tuition-2Yr'!B8+'State Appropriations-2Yr'!B8+'Local Appropriations-2Yr'!B8+'Fed Contracts Grnts-2Yr'!B8+'Other Contracts Grnts-2Yr'!B8+'Investment Income-2Yr'!B8+'All Other E&amp;G-2Yr'!B8</f>
        <v>32568</v>
      </c>
      <c r="C8" s="90">
        <f>+'Tuition-2Yr'!C8+'State Appropriations-2Yr'!C8+'Local Appropriations-2Yr'!C8+'Fed Contracts Grnts-2Yr'!C8+'Other Contracts Grnts-2Yr'!C8+'Investment Income-2Yr'!C8+'All Other E&amp;G-2Yr'!C8</f>
        <v>38715</v>
      </c>
      <c r="D8" s="90">
        <f>+'Tuition-2Yr'!D8+'State Appropriations-2Yr'!D8+'Local Appropriations-2Yr'!D8+'Fed Contracts Grnts-2Yr'!D8+'Other Contracts Grnts-2Yr'!D8+'Investment Income-2Yr'!D8+'All Other E&amp;G-2Yr'!D8</f>
        <v>40219</v>
      </c>
      <c r="E8" s="90">
        <f>+'Tuition-2Yr'!E8+'State Appropriations-2Yr'!E8+'Local Appropriations-2Yr'!E8+'Fed Contracts Grnts-2Yr'!E8+'Other Contracts Grnts-2Yr'!E8+'Investment Income-2Yr'!E8+'All Other E&amp;G-2Yr'!E8</f>
        <v>0</v>
      </c>
      <c r="F8" s="90">
        <f>+'Tuition-2Yr'!F8+'State Appropriations-2Yr'!F8+'Local Appropriations-2Yr'!F8+'Fed Contracts Grnts-2Yr'!F8+'Other Contracts Grnts-2Yr'!F8+'Investment Income-2Yr'!F8+'All Other E&amp;G-2Yr'!F8</f>
        <v>0</v>
      </c>
      <c r="G8" s="90">
        <f>+'Tuition-2Yr'!G8+'State Appropriations-2Yr'!G8+'Local Appropriations-2Yr'!G8+'Fed Contracts Grnts-2Yr'!G8+'Other Contracts Grnts-2Yr'!G8+'Investment Income-2Yr'!G8+'All Other E&amp;G-2Yr'!G8</f>
        <v>0</v>
      </c>
      <c r="H8" s="90">
        <f>+'Tuition-2Yr'!H8+'State Appropriations-2Yr'!H8+'Local Appropriations-2Yr'!H8+'Fed Contracts Grnts-2Yr'!H8+'Other Contracts Grnts-2Yr'!H8+'Investment Income-2Yr'!H8+'All Other E&amp;G-2Yr'!H8</f>
        <v>0</v>
      </c>
      <c r="I8" s="90">
        <f>+'Tuition-2Yr'!I8+'State Appropriations-2Yr'!I8+'Local Appropriations-2Yr'!I8+'Fed Contracts Grnts-2Yr'!I8+'Other Contracts Grnts-2Yr'!I8+'Investment Income-2Yr'!I8+'All Other E&amp;G-2Yr'!I8</f>
        <v>59648.76999999999</v>
      </c>
      <c r="J8" s="90">
        <f>+'Tuition-2Yr'!J8+'State Appropriations-2Yr'!J8+'Local Appropriations-2Yr'!J8+'Fed Contracts Grnts-2Yr'!J8+'Other Contracts Grnts-2Yr'!J8+'Investment Income-2Yr'!J8+'All Other E&amp;G-2Yr'!J8</f>
        <v>70842.769</v>
      </c>
      <c r="K8" s="90">
        <f>+'Tuition-2Yr'!K8+'State Appropriations-2Yr'!K8+'Local Appropriations-2Yr'!K8+'Fed Contracts Grnts-2Yr'!K8+'Other Contracts Grnts-2Yr'!K8+'Investment Income-2Yr'!K8+'All Other E&amp;G-2Yr'!K8</f>
        <v>85187.807000000001</v>
      </c>
      <c r="L8" s="90">
        <f>+'Tuition-2Yr'!L8+'State Appropriations-2Yr'!L8+'Local Appropriations-2Yr'!L8+'Fed Contracts Grnts-2Yr'!L8+'Other Contracts Grnts-2Yr'!L8+'Investment Income-2Yr'!L8+'All Other E&amp;G-2Yr'!L8</f>
        <v>91379.108999999997</v>
      </c>
      <c r="M8" s="90">
        <f>+'Tuition-2Yr'!M8+'State Appropriations-2Yr'!M8+'Local Appropriations-2Yr'!M8+'Fed Contracts Grnts-2Yr'!M8+'Other Contracts Grnts-2Yr'!M8+'Investment Income-2Yr'!M8+'All Other E&amp;G-2Yr'!M8</f>
        <v>105025.058</v>
      </c>
      <c r="N8" s="90">
        <f>+'Tuition-2Yr'!N8+'State Appropriations-2Yr'!N8+'Local Appropriations-2Yr'!N8+'Fed Contracts Grnts-2Yr'!N8+'Other Contracts Grnts-2Yr'!N8+'Investment Income-2Yr'!N8+'All Other E&amp;G-2Yr'!N8</f>
        <v>146089.23500000002</v>
      </c>
      <c r="O8" s="90">
        <f>+'Tuition-2Yr'!O8+'State Appropriations-2Yr'!O8+'Local Appropriations-2Yr'!O8+'Fed Contracts Grnts-2Yr'!O8+'Other Contracts Grnts-2Yr'!O8+'Investment Income-2Yr'!O8+'All Other E&amp;G-2Yr'!O8</f>
        <v>143968.503</v>
      </c>
      <c r="P8" s="90">
        <f>+'Tuition-2Yr'!P8+'State Appropriations-2Yr'!P8+'Local Appropriations-2Yr'!P8+'Fed Contracts Grnts-2Yr'!P8+'Other Contracts Grnts-2Yr'!P8+'Investment Income-2Yr'!P8+'All Other E&amp;G-2Yr'!P8</f>
        <v>0</v>
      </c>
      <c r="Q8" s="90">
        <f>+'Tuition-2Yr'!Q8+'State Appropriations-2Yr'!Q8+'Local Appropriations-2Yr'!Q8+'Fed Contracts Grnts-2Yr'!Q8+'Other Contracts Grnts-2Yr'!Q8+'Investment Income-2Yr'!Q8+'All Other E&amp;G-2Yr'!Q8</f>
        <v>0</v>
      </c>
      <c r="R8" s="90">
        <f>+'Tuition-2Yr'!R8+'State Appropriations-2Yr'!R8+'Local Appropriations-2Yr'!R8+'Fed Contracts Grnts-2Yr'!R8+'Other Contracts Grnts-2Yr'!R8+'Investment Income-2Yr'!R8+'All Other E&amp;G-2Yr'!R8</f>
        <v>210283.50799999997</v>
      </c>
      <c r="S8" s="90">
        <f>+'Tuition-2Yr'!S8+'State Appropriations-2Yr'!S8+'Local Appropriations-2Yr'!S8+'Fed Contracts Grnts-2Yr'!S8+'Other Contracts Grnts-2Yr'!S8+'Investment Income-2Yr'!S8+'All Other E&amp;G-2Yr'!S8</f>
        <v>230001.23500000002</v>
      </c>
      <c r="T8" s="90">
        <f>+'Tuition-2Yr'!T8+'State Appropriations-2Yr'!T8+'Local Appropriations-2Yr'!T8+'Fed Contracts Grnts-2Yr'!T8+'Other Contracts Grnts-2Yr'!T8+'Investment Income-2Yr'!T8+'All Other E&amp;G-2Yr'!T8</f>
        <v>254537.86900000001</v>
      </c>
      <c r="U8" s="90">
        <f>+'Tuition-2Yr'!U8+'State Appropriations-2Yr'!U8+'Local Appropriations-2Yr'!U8+'Fed Contracts Grnts-2Yr'!U8+'Other Contracts Grnts-2Yr'!U8+'Investment Income-2Yr'!U8+'All Other E&amp;G-2Yr'!U8</f>
        <v>246127.20500000002</v>
      </c>
      <c r="V8" s="90">
        <f>+'Tuition-2Yr'!V8+'State Appropriations-2Yr'!V8+'Local Appropriations-2Yr'!V8+'Fed Contracts Grnts-2Yr'!V8+'Other Contracts Grnts-2Yr'!V8+'Investment Income-2Yr'!V8+'All Other E&amp;G-2Yr'!V8</f>
        <v>282567.17000000004</v>
      </c>
      <c r="W8" s="90">
        <f>+'Tuition-2Yr'!W8+'State Appropriations-2Yr'!W8+'Local Appropriations-2Yr'!W8+'Fed Contracts Grnts-2Yr'!W8+'Other Contracts Grnts-2Yr'!W8+'Investment Income-2Yr'!W8+'All Other E&amp;G-2Yr'!W8</f>
        <v>319375.79999999993</v>
      </c>
      <c r="X8" s="90">
        <f>+'Tuition-2Yr'!X8+'State Appropriations-2Yr'!X8+'Local Appropriations-2Yr'!X8+'Fed Contracts Grnts-2Yr'!X8+'Other Contracts Grnts-2Yr'!X8+'Investment Income-2Yr'!X8+'All Other E&amp;G-2Yr'!X8</f>
        <v>319583.04300000001</v>
      </c>
      <c r="Y8" s="90">
        <f>+'Tuition-2Yr'!Y8+'State Appropriations-2Yr'!Y8+'Local Appropriations-2Yr'!Y8+'Fed Contracts Grnts-2Yr'!Y8+'Other Contracts Grnts-2Yr'!Y8+'Investment Income-2Yr'!Y8+'All Other E&amp;G-2Yr'!Y8</f>
        <v>396624.07700000005</v>
      </c>
      <c r="Z8" s="90">
        <f>+'Tuition-2Yr'!Z8+'State Appropriations-2Yr'!Z8+'Local Appropriations-2Yr'!Z8+'Fed Contracts Grnts-2Yr'!Z8+'Other Contracts Grnts-2Yr'!Z8+'Investment Income-2Yr'!Z8+'All Other E&amp;G-2Yr'!Z8</f>
        <v>458411.21199999994</v>
      </c>
      <c r="AA8" s="90">
        <f>+'Tuition-2Yr'!AA8+'State Appropriations-2Yr'!AA8+'Local Appropriations-2Yr'!AA8+'Fed Contracts Grnts-2Yr'!AA8+'Other Contracts Grnts-2Yr'!AA8+'Investment Income-2Yr'!AA8+'All Other E&amp;G-2Yr'!AA8</f>
        <v>472906.05799999996</v>
      </c>
      <c r="AB8" s="90">
        <f>+'Tuition-2Yr'!AB8+'State Appropriations-2Yr'!AB8+'Local Appropriations-2Yr'!AB8+'Fed Contracts Grnts-2Yr'!AB8+'Other Contracts Grnts-2Yr'!AB8+'Investment Income-2Yr'!AB8+'All Other E&amp;G-2Yr'!AB8</f>
        <v>553684.15500000003</v>
      </c>
      <c r="AC8" s="90">
        <f>+'Tuition-2Yr'!AC8+'State Appropriations-2Yr'!AC8+'Local Appropriations-2Yr'!AC8+'Fed Contracts Grnts-2Yr'!AC8+'Other Contracts Grnts-2Yr'!AC8+'Investment Income-2Yr'!AC8+'All Other E&amp;G-2Yr'!AC8</f>
        <v>593731</v>
      </c>
      <c r="AD8" s="90">
        <f>+'Tuition-2Yr'!AD8+'State Appropriations-2Yr'!AD8+'Local Appropriations-2Yr'!AD8+'Fed Contracts Grnts-2Yr'!AD8+'Other Contracts Grnts-2Yr'!AD8+'Investment Income-2Yr'!AD8+'All Other E&amp;G-2Yr'!AD8</f>
        <v>580420.1</v>
      </c>
      <c r="AE8" s="90">
        <f>+'Tuition-2Yr'!AE8+'State Appropriations-2Yr'!AE8+'Local Appropriations-2Yr'!AE8+'Fed Contracts Grnts-2Yr'!AE8+'Other Contracts Grnts-2Yr'!AE8+'Investment Income-2Yr'!AE8+'All Other E&amp;G-2Yr'!AE8</f>
        <v>566790.57699999993</v>
      </c>
      <c r="AF8" s="90">
        <f>+'Tuition-2Yr'!AF8+'State Appropriations-2Yr'!AF8+'Local Appropriations-2Yr'!AF8+'Fed Contracts Grnts-2Yr'!AF8+'Other Contracts Grnts-2Yr'!AF8+'Investment Income-2Yr'!AF8+'All Other E&amp;G-2Yr'!AF8</f>
        <v>556515.06699999992</v>
      </c>
      <c r="AG8" s="90">
        <f>+'Tuition-2Yr'!AG8+'State Appropriations-2Yr'!AG8+'Local Appropriations-2Yr'!AG8+'Fed Contracts Grnts-2Yr'!AG8+'Other Contracts Grnts-2Yr'!AG8+'Investment Income-2Yr'!AG8+'All Other E&amp;G-2Yr'!AG8</f>
        <v>537464.08699999994</v>
      </c>
      <c r="AH8" s="90">
        <f>+'Tuition-2Yr'!AH8+'State Appropriations-2Yr'!AH8+'Local Appropriations-2Yr'!AH8+'Fed Contracts Grnts-2Yr'!AH8+'Other Contracts Grnts-2Yr'!AH8+'Investment Income-2Yr'!AH8+'All Other E&amp;G-2Yr'!AH8</f>
        <v>518375.08200000005</v>
      </c>
      <c r="AI8" s="90">
        <f>+'Tuition-2Yr'!AI8+'State Appropriations-2Yr'!AI8+'Local Appropriations-2Yr'!AI8+'Fed Contracts Grnts-2Yr'!AI8+'Other Contracts Grnts-2Yr'!AI8+'Investment Income-2Yr'!AI8+'All Other E&amp;G-2Yr'!AI8</f>
        <v>515694.46699999995</v>
      </c>
      <c r="AJ8" s="90">
        <f>+'Tuition-2Yr'!AJ8+'State Appropriations-2Yr'!AJ8+'Local Appropriations-2Yr'!AJ8+'Fed Contracts Grnts-2Yr'!AJ8+'Other Contracts Grnts-2Yr'!AJ8+'Investment Income-2Yr'!AJ8+'All Other E&amp;G-2Yr'!AJ8</f>
        <v>0</v>
      </c>
      <c r="AK8" s="90">
        <f>+'Tuition-2Yr'!AK8+'State Appropriations-2Yr'!AK8+'Local Appropriations-2Yr'!AK8+'Fed Contracts Grnts-2Yr'!AK8+'Other Contracts Grnts-2Yr'!AK8+'Investment Income-2Yr'!AK8+'All Other E&amp;G-2Yr'!AK8</f>
        <v>576254.15500000003</v>
      </c>
    </row>
    <row r="9" spans="1:37" ht="12.75" customHeight="1">
      <c r="A9" s="1" t="s">
        <v>23</v>
      </c>
      <c r="B9" s="90">
        <f>+'Tuition-2Yr'!B9+'State Appropriations-2Yr'!B9+'Local Appropriations-2Yr'!B9+'Fed Contracts Grnts-2Yr'!B9+'Other Contracts Grnts-2Yr'!B9+'Investment Income-2Yr'!B9+'All Other E&amp;G-2Yr'!B9</f>
        <v>0</v>
      </c>
      <c r="C9" s="90">
        <f>+'Tuition-2Yr'!C9+'State Appropriations-2Yr'!C9+'Local Appropriations-2Yr'!C9+'Fed Contracts Grnts-2Yr'!C9+'Other Contracts Grnts-2Yr'!C9+'Investment Income-2Yr'!C9+'All Other E&amp;G-2Yr'!C9</f>
        <v>0</v>
      </c>
      <c r="D9" s="90">
        <f>+'Tuition-2Yr'!D9+'State Appropriations-2Yr'!D9+'Local Appropriations-2Yr'!D9+'Fed Contracts Grnts-2Yr'!D9+'Other Contracts Grnts-2Yr'!D9+'Investment Income-2Yr'!D9+'All Other E&amp;G-2Yr'!D9</f>
        <v>23735</v>
      </c>
      <c r="E9" s="90">
        <f>+'Tuition-2Yr'!E9+'State Appropriations-2Yr'!E9+'Local Appropriations-2Yr'!E9+'Fed Contracts Grnts-2Yr'!E9+'Other Contracts Grnts-2Yr'!E9+'Investment Income-2Yr'!E9+'All Other E&amp;G-2Yr'!E9</f>
        <v>0</v>
      </c>
      <c r="F9" s="90">
        <f>+'Tuition-2Yr'!F9+'State Appropriations-2Yr'!F9+'Local Appropriations-2Yr'!F9+'Fed Contracts Grnts-2Yr'!F9+'Other Contracts Grnts-2Yr'!F9+'Investment Income-2Yr'!F9+'All Other E&amp;G-2Yr'!F9</f>
        <v>0</v>
      </c>
      <c r="G9" s="90">
        <f>+'Tuition-2Yr'!G9+'State Appropriations-2Yr'!G9+'Local Appropriations-2Yr'!G9+'Fed Contracts Grnts-2Yr'!G9+'Other Contracts Grnts-2Yr'!G9+'Investment Income-2Yr'!G9+'All Other E&amp;G-2Yr'!G9</f>
        <v>0</v>
      </c>
      <c r="H9" s="90">
        <f>+'Tuition-2Yr'!H9+'State Appropriations-2Yr'!H9+'Local Appropriations-2Yr'!H9+'Fed Contracts Grnts-2Yr'!H9+'Other Contracts Grnts-2Yr'!H9+'Investment Income-2Yr'!H9+'All Other E&amp;G-2Yr'!H9</f>
        <v>0</v>
      </c>
      <c r="I9" s="90">
        <f>+'Tuition-2Yr'!I9+'State Appropriations-2Yr'!I9+'Local Appropriations-2Yr'!I9+'Fed Contracts Grnts-2Yr'!I9+'Other Contracts Grnts-2Yr'!I9+'Investment Income-2Yr'!I9+'All Other E&amp;G-2Yr'!I9</f>
        <v>47014.712999999996</v>
      </c>
      <c r="J9" s="90">
        <f>+'Tuition-2Yr'!J9+'State Appropriations-2Yr'!J9+'Local Appropriations-2Yr'!J9+'Fed Contracts Grnts-2Yr'!J9+'Other Contracts Grnts-2Yr'!J9+'Investment Income-2Yr'!J9+'All Other E&amp;G-2Yr'!J9</f>
        <v>63905.838000000003</v>
      </c>
      <c r="K9" s="90">
        <f>+'Tuition-2Yr'!K9+'State Appropriations-2Yr'!K9+'Local Appropriations-2Yr'!K9+'Fed Contracts Grnts-2Yr'!K9+'Other Contracts Grnts-2Yr'!K9+'Investment Income-2Yr'!K9+'All Other E&amp;G-2Yr'!K9</f>
        <v>0</v>
      </c>
      <c r="L9" s="90">
        <f>+'Tuition-2Yr'!L9+'State Appropriations-2Yr'!L9+'Local Appropriations-2Yr'!L9+'Fed Contracts Grnts-2Yr'!L9+'Other Contracts Grnts-2Yr'!L9+'Investment Income-2Yr'!L9+'All Other E&amp;G-2Yr'!L9</f>
        <v>0</v>
      </c>
      <c r="M9" s="90">
        <f>+'Tuition-2Yr'!M9+'State Appropriations-2Yr'!M9+'Local Appropriations-2Yr'!M9+'Fed Contracts Grnts-2Yr'!M9+'Other Contracts Grnts-2Yr'!M9+'Investment Income-2Yr'!M9+'All Other E&amp;G-2Yr'!M9</f>
        <v>64359.7</v>
      </c>
      <c r="N9" s="90">
        <f>+'Tuition-2Yr'!N9+'State Appropriations-2Yr'!N9+'Local Appropriations-2Yr'!N9+'Fed Contracts Grnts-2Yr'!N9+'Other Contracts Grnts-2Yr'!N9+'Investment Income-2Yr'!N9+'All Other E&amp;G-2Yr'!N9</f>
        <v>68917.567999999999</v>
      </c>
      <c r="O9" s="90">
        <f>+'Tuition-2Yr'!O9+'State Appropriations-2Yr'!O9+'Local Appropriations-2Yr'!O9+'Fed Contracts Grnts-2Yr'!O9+'Other Contracts Grnts-2Yr'!O9+'Investment Income-2Yr'!O9+'All Other E&amp;G-2Yr'!O9</f>
        <v>74762.218999999997</v>
      </c>
      <c r="P9" s="90">
        <f>+'Tuition-2Yr'!P9+'State Appropriations-2Yr'!P9+'Local Appropriations-2Yr'!P9+'Fed Contracts Grnts-2Yr'!P9+'Other Contracts Grnts-2Yr'!P9+'Investment Income-2Yr'!P9+'All Other E&amp;G-2Yr'!P9</f>
        <v>0</v>
      </c>
      <c r="Q9" s="90">
        <f>+'Tuition-2Yr'!Q9+'State Appropriations-2Yr'!Q9+'Local Appropriations-2Yr'!Q9+'Fed Contracts Grnts-2Yr'!Q9+'Other Contracts Grnts-2Yr'!Q9+'Investment Income-2Yr'!Q9+'All Other E&amp;G-2Yr'!Q9</f>
        <v>0</v>
      </c>
      <c r="R9" s="90">
        <f>+'Tuition-2Yr'!R9+'State Appropriations-2Yr'!R9+'Local Appropriations-2Yr'!R9+'Fed Contracts Grnts-2Yr'!R9+'Other Contracts Grnts-2Yr'!R9+'Investment Income-2Yr'!R9+'All Other E&amp;G-2Yr'!R9</f>
        <v>83793.294999999998</v>
      </c>
      <c r="S9" s="90">
        <f>+'Tuition-2Yr'!S9+'State Appropriations-2Yr'!S9+'Local Appropriations-2Yr'!S9+'Fed Contracts Grnts-2Yr'!S9+'Other Contracts Grnts-2Yr'!S9+'Investment Income-2Yr'!S9+'All Other E&amp;G-2Yr'!S9</f>
        <v>89812.878999999986</v>
      </c>
      <c r="T9" s="90">
        <f>+'Tuition-2Yr'!T9+'State Appropriations-2Yr'!T9+'Local Appropriations-2Yr'!T9+'Fed Contracts Grnts-2Yr'!T9+'Other Contracts Grnts-2Yr'!T9+'Investment Income-2Yr'!T9+'All Other E&amp;G-2Yr'!T9</f>
        <v>90428.844999999987</v>
      </c>
      <c r="U9" s="90">
        <f>+'Tuition-2Yr'!U9+'State Appropriations-2Yr'!U9+'Local Appropriations-2Yr'!U9+'Fed Contracts Grnts-2Yr'!U9+'Other Contracts Grnts-2Yr'!U9+'Investment Income-2Yr'!U9+'All Other E&amp;G-2Yr'!U9</f>
        <v>97110.25</v>
      </c>
      <c r="V9" s="90">
        <f>+'Tuition-2Yr'!V9+'State Appropriations-2Yr'!V9+'Local Appropriations-2Yr'!V9+'Fed Contracts Grnts-2Yr'!V9+'Other Contracts Grnts-2Yr'!V9+'Investment Income-2Yr'!V9+'All Other E&amp;G-2Yr'!V9</f>
        <v>98673.514999999999</v>
      </c>
      <c r="W9" s="90">
        <f>+'Tuition-2Yr'!W9+'State Appropriations-2Yr'!W9+'Local Appropriations-2Yr'!W9+'Fed Contracts Grnts-2Yr'!W9+'Other Contracts Grnts-2Yr'!W9+'Investment Income-2Yr'!W9+'All Other E&amp;G-2Yr'!W9</f>
        <v>105824.777</v>
      </c>
      <c r="X9" s="90">
        <f>+'Tuition-2Yr'!X9+'State Appropriations-2Yr'!X9+'Local Appropriations-2Yr'!X9+'Fed Contracts Grnts-2Yr'!X9+'Other Contracts Grnts-2Yr'!X9+'Investment Income-2Yr'!X9+'All Other E&amp;G-2Yr'!X9</f>
        <v>111203.78700000001</v>
      </c>
      <c r="Y9" s="90">
        <f>+'Tuition-2Yr'!Y9+'State Appropriations-2Yr'!Y9+'Local Appropriations-2Yr'!Y9+'Fed Contracts Grnts-2Yr'!Y9+'Other Contracts Grnts-2Yr'!Y9+'Investment Income-2Yr'!Y9+'All Other E&amp;G-2Yr'!Y9</f>
        <v>118677.982</v>
      </c>
      <c r="Z9" s="90">
        <f>+'Tuition-2Yr'!Z9+'State Appropriations-2Yr'!Z9+'Local Appropriations-2Yr'!Z9+'Fed Contracts Grnts-2Yr'!Z9+'Other Contracts Grnts-2Yr'!Z9+'Investment Income-2Yr'!Z9+'All Other E&amp;G-2Yr'!Z9</f>
        <v>127897.902</v>
      </c>
      <c r="AA9" s="90">
        <f>+'Tuition-2Yr'!AA9+'State Appropriations-2Yr'!AA9+'Local Appropriations-2Yr'!AA9+'Fed Contracts Grnts-2Yr'!AA9+'Other Contracts Grnts-2Yr'!AA9+'Investment Income-2Yr'!AA9+'All Other E&amp;G-2Yr'!AA9</f>
        <v>131744.76</v>
      </c>
      <c r="AB9" s="90">
        <f>+'Tuition-2Yr'!AB9+'State Appropriations-2Yr'!AB9+'Local Appropriations-2Yr'!AB9+'Fed Contracts Grnts-2Yr'!AB9+'Other Contracts Grnts-2Yr'!AB9+'Investment Income-2Yr'!AB9+'All Other E&amp;G-2Yr'!AB9</f>
        <v>154882.375</v>
      </c>
      <c r="AC9" s="90">
        <f>+'Tuition-2Yr'!AC9+'State Appropriations-2Yr'!AC9+'Local Appropriations-2Yr'!AC9+'Fed Contracts Grnts-2Yr'!AC9+'Other Contracts Grnts-2Yr'!AC9+'Investment Income-2Yr'!AC9+'All Other E&amp;G-2Yr'!AC9</f>
        <v>170110</v>
      </c>
      <c r="AD9" s="90">
        <f>+'Tuition-2Yr'!AD9+'State Appropriations-2Yr'!AD9+'Local Appropriations-2Yr'!AD9+'Fed Contracts Grnts-2Yr'!AD9+'Other Contracts Grnts-2Yr'!AD9+'Investment Income-2Yr'!AD9+'All Other E&amp;G-2Yr'!AD9</f>
        <v>188914.93400000001</v>
      </c>
      <c r="AE9" s="90">
        <f>+'Tuition-2Yr'!AE9+'State Appropriations-2Yr'!AE9+'Local Appropriations-2Yr'!AE9+'Fed Contracts Grnts-2Yr'!AE9+'Other Contracts Grnts-2Yr'!AE9+'Investment Income-2Yr'!AE9+'All Other E&amp;G-2Yr'!AE9</f>
        <v>174771.13</v>
      </c>
      <c r="AF9" s="90">
        <f>+'Tuition-2Yr'!AF9+'State Appropriations-2Yr'!AF9+'Local Appropriations-2Yr'!AF9+'Fed Contracts Grnts-2Yr'!AF9+'Other Contracts Grnts-2Yr'!AF9+'Investment Income-2Yr'!AF9+'All Other E&amp;G-2Yr'!AF9</f>
        <v>178575.492</v>
      </c>
      <c r="AG9" s="90">
        <f>+'Tuition-2Yr'!AG9+'State Appropriations-2Yr'!AG9+'Local Appropriations-2Yr'!AG9+'Fed Contracts Grnts-2Yr'!AG9+'Other Contracts Grnts-2Yr'!AG9+'Investment Income-2Yr'!AG9+'All Other E&amp;G-2Yr'!AG9</f>
        <v>180491.46100000001</v>
      </c>
      <c r="AH9" s="90">
        <f>+'Tuition-2Yr'!AH9+'State Appropriations-2Yr'!AH9+'Local Appropriations-2Yr'!AH9+'Fed Contracts Grnts-2Yr'!AH9+'Other Contracts Grnts-2Yr'!AH9+'Investment Income-2Yr'!AH9+'All Other E&amp;G-2Yr'!AH9</f>
        <v>183292.77300000002</v>
      </c>
      <c r="AI9" s="90">
        <f>+'Tuition-2Yr'!AI9+'State Appropriations-2Yr'!AI9+'Local Appropriations-2Yr'!AI9+'Fed Contracts Grnts-2Yr'!AI9+'Other Contracts Grnts-2Yr'!AI9+'Investment Income-2Yr'!AI9+'All Other E&amp;G-2Yr'!AI9</f>
        <v>186929.09499999997</v>
      </c>
      <c r="AJ9" s="90">
        <f>+'Tuition-2Yr'!AJ9+'State Appropriations-2Yr'!AJ9+'Local Appropriations-2Yr'!AJ9+'Fed Contracts Grnts-2Yr'!AJ9+'Other Contracts Grnts-2Yr'!AJ9+'Investment Income-2Yr'!AJ9+'All Other E&amp;G-2Yr'!AJ9</f>
        <v>0</v>
      </c>
      <c r="AK9" s="90">
        <f>+'Tuition-2Yr'!AK9+'State Appropriations-2Yr'!AK9+'Local Appropriations-2Yr'!AK9+'Fed Contracts Grnts-2Yr'!AK9+'Other Contracts Grnts-2Yr'!AK9+'Investment Income-2Yr'!AK9+'All Other E&amp;G-2Yr'!AK9</f>
        <v>193293.02500000002</v>
      </c>
    </row>
    <row r="10" spans="1:37" ht="12.75" customHeight="1">
      <c r="A10" s="1" t="s">
        <v>24</v>
      </c>
      <c r="B10" s="90">
        <f>+'Tuition-2Yr'!B10+'State Appropriations-2Yr'!B10+'Local Appropriations-2Yr'!B10+'Fed Contracts Grnts-2Yr'!B10+'Other Contracts Grnts-2Yr'!B10+'Investment Income-2Yr'!B10+'All Other E&amp;G-2Yr'!B10</f>
        <v>500236</v>
      </c>
      <c r="C10" s="90">
        <f>+'Tuition-2Yr'!C10+'State Appropriations-2Yr'!C10+'Local Appropriations-2Yr'!C10+'Fed Contracts Grnts-2Yr'!C10+'Other Contracts Grnts-2Yr'!C10+'Investment Income-2Yr'!C10+'All Other E&amp;G-2Yr'!C10</f>
        <v>522708</v>
      </c>
      <c r="D10" s="90">
        <f>+'Tuition-2Yr'!D10+'State Appropriations-2Yr'!D10+'Local Appropriations-2Yr'!D10+'Fed Contracts Grnts-2Yr'!D10+'Other Contracts Grnts-2Yr'!D10+'Investment Income-2Yr'!D10+'All Other E&amp;G-2Yr'!D10</f>
        <v>552297</v>
      </c>
      <c r="E10" s="90">
        <f>+'Tuition-2Yr'!E10+'State Appropriations-2Yr'!E10+'Local Appropriations-2Yr'!E10+'Fed Contracts Grnts-2Yr'!E10+'Other Contracts Grnts-2Yr'!E10+'Investment Income-2Yr'!E10+'All Other E&amp;G-2Yr'!E10</f>
        <v>0</v>
      </c>
      <c r="F10" s="90">
        <f>+'Tuition-2Yr'!F10+'State Appropriations-2Yr'!F10+'Local Appropriations-2Yr'!F10+'Fed Contracts Grnts-2Yr'!F10+'Other Contracts Grnts-2Yr'!F10+'Investment Income-2Yr'!F10+'All Other E&amp;G-2Yr'!F10</f>
        <v>0</v>
      </c>
      <c r="G10" s="90">
        <f>+'Tuition-2Yr'!G10+'State Appropriations-2Yr'!G10+'Local Appropriations-2Yr'!G10+'Fed Contracts Grnts-2Yr'!G10+'Other Contracts Grnts-2Yr'!G10+'Investment Income-2Yr'!G10+'All Other E&amp;G-2Yr'!G10</f>
        <v>0</v>
      </c>
      <c r="H10" s="90">
        <f>+'Tuition-2Yr'!H10+'State Appropriations-2Yr'!H10+'Local Appropriations-2Yr'!H10+'Fed Contracts Grnts-2Yr'!H10+'Other Contracts Grnts-2Yr'!H10+'Investment Income-2Yr'!H10+'All Other E&amp;G-2Yr'!H10</f>
        <v>0</v>
      </c>
      <c r="I10" s="90">
        <f>+'Tuition-2Yr'!I10+'State Appropriations-2Yr'!I10+'Local Appropriations-2Yr'!I10+'Fed Contracts Grnts-2Yr'!I10+'Other Contracts Grnts-2Yr'!I10+'Investment Income-2Yr'!I10+'All Other E&amp;G-2Yr'!I10</f>
        <v>927756.37200000009</v>
      </c>
      <c r="J10" s="90">
        <f>+'Tuition-2Yr'!J10+'State Appropriations-2Yr'!J10+'Local Appropriations-2Yr'!J10+'Fed Contracts Grnts-2Yr'!J10+'Other Contracts Grnts-2Yr'!J10+'Investment Income-2Yr'!J10+'All Other E&amp;G-2Yr'!J10</f>
        <v>986859.01599999995</v>
      </c>
      <c r="K10" s="90">
        <f>+'Tuition-2Yr'!K10+'State Appropriations-2Yr'!K10+'Local Appropriations-2Yr'!K10+'Fed Contracts Grnts-2Yr'!K10+'Other Contracts Grnts-2Yr'!K10+'Investment Income-2Yr'!K10+'All Other E&amp;G-2Yr'!K10</f>
        <v>1052291.798</v>
      </c>
      <c r="L10" s="90">
        <f>+'Tuition-2Yr'!L10+'State Appropriations-2Yr'!L10+'Local Appropriations-2Yr'!L10+'Fed Contracts Grnts-2Yr'!L10+'Other Contracts Grnts-2Yr'!L10+'Investment Income-2Yr'!L10+'All Other E&amp;G-2Yr'!L10</f>
        <v>1113754.05</v>
      </c>
      <c r="M10" s="90">
        <f>+'Tuition-2Yr'!M10+'State Appropriations-2Yr'!M10+'Local Appropriations-2Yr'!M10+'Fed Contracts Grnts-2Yr'!M10+'Other Contracts Grnts-2Yr'!M10+'Investment Income-2Yr'!M10+'All Other E&amp;G-2Yr'!M10</f>
        <v>1158694.4040000003</v>
      </c>
      <c r="N10" s="90">
        <f>+'Tuition-2Yr'!N10+'State Appropriations-2Yr'!N10+'Local Appropriations-2Yr'!N10+'Fed Contracts Grnts-2Yr'!N10+'Other Contracts Grnts-2Yr'!N10+'Investment Income-2Yr'!N10+'All Other E&amp;G-2Yr'!N10</f>
        <v>1195912.5059999998</v>
      </c>
      <c r="O10" s="90">
        <f>+'Tuition-2Yr'!O10+'State Appropriations-2Yr'!O10+'Local Appropriations-2Yr'!O10+'Fed Contracts Grnts-2Yr'!O10+'Other Contracts Grnts-2Yr'!O10+'Investment Income-2Yr'!O10+'All Other E&amp;G-2Yr'!O10</f>
        <v>1303896.9039999999</v>
      </c>
      <c r="P10" s="90">
        <f>+'Tuition-2Yr'!P10+'State Appropriations-2Yr'!P10+'Local Appropriations-2Yr'!P10+'Fed Contracts Grnts-2Yr'!P10+'Other Contracts Grnts-2Yr'!P10+'Investment Income-2Yr'!P10+'All Other E&amp;G-2Yr'!P10</f>
        <v>0</v>
      </c>
      <c r="Q10" s="90">
        <f>+'Tuition-2Yr'!Q10+'State Appropriations-2Yr'!Q10+'Local Appropriations-2Yr'!Q10+'Fed Contracts Grnts-2Yr'!Q10+'Other Contracts Grnts-2Yr'!Q10+'Investment Income-2Yr'!Q10+'All Other E&amp;G-2Yr'!Q10</f>
        <v>0</v>
      </c>
      <c r="R10" s="90">
        <f>+'Tuition-2Yr'!R10+'State Appropriations-2Yr'!R10+'Local Appropriations-2Yr'!R10+'Fed Contracts Grnts-2Yr'!R10+'Other Contracts Grnts-2Yr'!R10+'Investment Income-2Yr'!R10+'All Other E&amp;G-2Yr'!R10</f>
        <v>1555907.463</v>
      </c>
      <c r="S10" s="90">
        <f>+'Tuition-2Yr'!S10+'State Appropriations-2Yr'!S10+'Local Appropriations-2Yr'!S10+'Fed Contracts Grnts-2Yr'!S10+'Other Contracts Grnts-2Yr'!S10+'Investment Income-2Yr'!S10+'All Other E&amp;G-2Yr'!S10</f>
        <v>1943647.986</v>
      </c>
      <c r="T10" s="90">
        <f>+'Tuition-2Yr'!T10+'State Appropriations-2Yr'!T10+'Local Appropriations-2Yr'!T10+'Fed Contracts Grnts-2Yr'!T10+'Other Contracts Grnts-2Yr'!T10+'Investment Income-2Yr'!T10+'All Other E&amp;G-2Yr'!T10</f>
        <v>1679629.1740000003</v>
      </c>
      <c r="U10" s="90">
        <f>+'Tuition-2Yr'!U10+'State Appropriations-2Yr'!U10+'Local Appropriations-2Yr'!U10+'Fed Contracts Grnts-2Yr'!U10+'Other Contracts Grnts-2Yr'!U10+'Investment Income-2Yr'!U10+'All Other E&amp;G-2Yr'!U10</f>
        <v>1361985.9249999998</v>
      </c>
      <c r="V10" s="90">
        <f>+'Tuition-2Yr'!V10+'State Appropriations-2Yr'!V10+'Local Appropriations-2Yr'!V10+'Fed Contracts Grnts-2Yr'!V10+'Other Contracts Grnts-2Yr'!V10+'Investment Income-2Yr'!V10+'All Other E&amp;G-2Yr'!V10</f>
        <v>1353467.6710000001</v>
      </c>
      <c r="W10" s="90">
        <f>+'Tuition-2Yr'!W10+'State Appropriations-2Yr'!W10+'Local Appropriations-2Yr'!W10+'Fed Contracts Grnts-2Yr'!W10+'Other Contracts Grnts-2Yr'!W10+'Investment Income-2Yr'!W10+'All Other E&amp;G-2Yr'!W10</f>
        <v>1583708.6690000002</v>
      </c>
      <c r="X10" s="90">
        <f>+'Tuition-2Yr'!X10+'State Appropriations-2Yr'!X10+'Local Appropriations-2Yr'!X10+'Fed Contracts Grnts-2Yr'!X10+'Other Contracts Grnts-2Yr'!X10+'Investment Income-2Yr'!X10+'All Other E&amp;G-2Yr'!X10</f>
        <v>1517317.129</v>
      </c>
      <c r="Y10" s="90">
        <f>+'Tuition-2Yr'!Y10+'State Appropriations-2Yr'!Y10+'Local Appropriations-2Yr'!Y10+'Fed Contracts Grnts-2Yr'!Y10+'Other Contracts Grnts-2Yr'!Y10+'Investment Income-2Yr'!Y10+'All Other E&amp;G-2Yr'!Y10</f>
        <v>1925255.132</v>
      </c>
      <c r="Z10" s="90">
        <f>+'Tuition-2Yr'!Z10+'State Appropriations-2Yr'!Z10+'Local Appropriations-2Yr'!Z10+'Fed Contracts Grnts-2Yr'!Z10+'Other Contracts Grnts-2Yr'!Z10+'Investment Income-2Yr'!Z10+'All Other E&amp;G-2Yr'!Z10</f>
        <v>1944414.281</v>
      </c>
      <c r="AA10" s="90">
        <f>+'Tuition-2Yr'!AA10+'State Appropriations-2Yr'!AA10+'Local Appropriations-2Yr'!AA10+'Fed Contracts Grnts-2Yr'!AA10+'Other Contracts Grnts-2Yr'!AA10+'Investment Income-2Yr'!AA10+'All Other E&amp;G-2Yr'!AA10</f>
        <v>2642656.3679999998</v>
      </c>
      <c r="AB10" s="90">
        <f>+'Tuition-2Yr'!AB10+'State Appropriations-2Yr'!AB10+'Local Appropriations-2Yr'!AB10+'Fed Contracts Grnts-2Yr'!AB10+'Other Contracts Grnts-2Yr'!AB10+'Investment Income-2Yr'!AB10+'All Other E&amp;G-2Yr'!AB10</f>
        <v>3221592.9819999998</v>
      </c>
      <c r="AC10" s="90">
        <f>+'Tuition-2Yr'!AC10+'State Appropriations-2Yr'!AC10+'Local Appropriations-2Yr'!AC10+'Fed Contracts Grnts-2Yr'!AC10+'Other Contracts Grnts-2Yr'!AC10+'Investment Income-2Yr'!AC10+'All Other E&amp;G-2Yr'!AC10</f>
        <v>3586428</v>
      </c>
      <c r="AD10" s="90">
        <f>+'Tuition-2Yr'!AD10+'State Appropriations-2Yr'!AD10+'Local Appropriations-2Yr'!AD10+'Fed Contracts Grnts-2Yr'!AD10+'Other Contracts Grnts-2Yr'!AD10+'Investment Income-2Yr'!AD10+'All Other E&amp;G-2Yr'!AD10</f>
        <v>3473602.9040000001</v>
      </c>
      <c r="AE10" s="90">
        <f>+'Tuition-2Yr'!AE10+'State Appropriations-2Yr'!AE10+'Local Appropriations-2Yr'!AE10+'Fed Contracts Grnts-2Yr'!AE10+'Other Contracts Grnts-2Yr'!AE10+'Investment Income-2Yr'!AE10+'All Other E&amp;G-2Yr'!AE10</f>
        <v>3425535.3559999992</v>
      </c>
      <c r="AF10" s="90">
        <f>+'Tuition-2Yr'!AF10+'State Appropriations-2Yr'!AF10+'Local Appropriations-2Yr'!AF10+'Fed Contracts Grnts-2Yr'!AF10+'Other Contracts Grnts-2Yr'!AF10+'Investment Income-2Yr'!AF10+'All Other E&amp;G-2Yr'!AF10</f>
        <v>3484381.5359999998</v>
      </c>
      <c r="AG10" s="90">
        <f>+'Tuition-2Yr'!AG10+'State Appropriations-2Yr'!AG10+'Local Appropriations-2Yr'!AG10+'Fed Contracts Grnts-2Yr'!AG10+'Other Contracts Grnts-2Yr'!AG10+'Investment Income-2Yr'!AG10+'All Other E&amp;G-2Yr'!AG10</f>
        <v>3509401.2829999998</v>
      </c>
      <c r="AH10" s="90">
        <f>+'Tuition-2Yr'!AH10+'State Appropriations-2Yr'!AH10+'Local Appropriations-2Yr'!AH10+'Fed Contracts Grnts-2Yr'!AH10+'Other Contracts Grnts-2Yr'!AH10+'Investment Income-2Yr'!AH10+'All Other E&amp;G-2Yr'!AH10</f>
        <v>3652526.4659999995</v>
      </c>
      <c r="AI10" s="90">
        <f>+'Tuition-2Yr'!AI10+'State Appropriations-2Yr'!AI10+'Local Appropriations-2Yr'!AI10+'Fed Contracts Grnts-2Yr'!AI10+'Other Contracts Grnts-2Yr'!AI10+'Investment Income-2Yr'!AI10+'All Other E&amp;G-2Yr'!AI10</f>
        <v>3415199.7720000003</v>
      </c>
      <c r="AJ10" s="90">
        <f>+'Tuition-2Yr'!AJ10+'State Appropriations-2Yr'!AJ10+'Local Appropriations-2Yr'!AJ10+'Fed Contracts Grnts-2Yr'!AJ10+'Other Contracts Grnts-2Yr'!AJ10+'Investment Income-2Yr'!AJ10+'All Other E&amp;G-2Yr'!AJ10</f>
        <v>0</v>
      </c>
      <c r="AK10" s="90">
        <f>+'Tuition-2Yr'!AK10+'State Appropriations-2Yr'!AK10+'Local Appropriations-2Yr'!AK10+'Fed Contracts Grnts-2Yr'!AK10+'Other Contracts Grnts-2Yr'!AK10+'Investment Income-2Yr'!AK10+'All Other E&amp;G-2Yr'!AK10</f>
        <v>4217593.4460000005</v>
      </c>
    </row>
    <row r="11" spans="1:37" ht="12.75" customHeight="1">
      <c r="A11" s="1" t="s">
        <v>25</v>
      </c>
      <c r="B11" s="90">
        <f>+'Tuition-2Yr'!B11+'State Appropriations-2Yr'!B11+'Local Appropriations-2Yr'!B11+'Fed Contracts Grnts-2Yr'!B11+'Other Contracts Grnts-2Yr'!B11+'Investment Income-2Yr'!B11+'All Other E&amp;G-2Yr'!B11</f>
        <v>92232</v>
      </c>
      <c r="C11" s="90">
        <f>+'Tuition-2Yr'!C11+'State Appropriations-2Yr'!C11+'Local Appropriations-2Yr'!C11+'Fed Contracts Grnts-2Yr'!C11+'Other Contracts Grnts-2Yr'!C11+'Investment Income-2Yr'!C11+'All Other E&amp;G-2Yr'!C11</f>
        <v>97429</v>
      </c>
      <c r="D11" s="90">
        <f>+'Tuition-2Yr'!D11+'State Appropriations-2Yr'!D11+'Local Appropriations-2Yr'!D11+'Fed Contracts Grnts-2Yr'!D11+'Other Contracts Grnts-2Yr'!D11+'Investment Income-2Yr'!D11+'All Other E&amp;G-2Yr'!D11</f>
        <v>102678</v>
      </c>
      <c r="E11" s="90">
        <f>+'Tuition-2Yr'!E11+'State Appropriations-2Yr'!E11+'Local Appropriations-2Yr'!E11+'Fed Contracts Grnts-2Yr'!E11+'Other Contracts Grnts-2Yr'!E11+'Investment Income-2Yr'!E11+'All Other E&amp;G-2Yr'!E11</f>
        <v>0</v>
      </c>
      <c r="F11" s="90">
        <f>+'Tuition-2Yr'!F11+'State Appropriations-2Yr'!F11+'Local Appropriations-2Yr'!F11+'Fed Contracts Grnts-2Yr'!F11+'Other Contracts Grnts-2Yr'!F11+'Investment Income-2Yr'!F11+'All Other E&amp;G-2Yr'!F11</f>
        <v>0</v>
      </c>
      <c r="G11" s="90">
        <f>+'Tuition-2Yr'!G11+'State Appropriations-2Yr'!G11+'Local Appropriations-2Yr'!G11+'Fed Contracts Grnts-2Yr'!G11+'Other Contracts Grnts-2Yr'!G11+'Investment Income-2Yr'!G11+'All Other E&amp;G-2Yr'!G11</f>
        <v>0</v>
      </c>
      <c r="H11" s="90">
        <f>+'Tuition-2Yr'!H11+'State Appropriations-2Yr'!H11+'Local Appropriations-2Yr'!H11+'Fed Contracts Grnts-2Yr'!H11+'Other Contracts Grnts-2Yr'!H11+'Investment Income-2Yr'!H11+'All Other E&amp;G-2Yr'!H11</f>
        <v>0</v>
      </c>
      <c r="I11" s="90">
        <f>+'Tuition-2Yr'!I11+'State Appropriations-2Yr'!I11+'Local Appropriations-2Yr'!I11+'Fed Contracts Grnts-2Yr'!I11+'Other Contracts Grnts-2Yr'!I11+'Investment Income-2Yr'!I11+'All Other E&amp;G-2Yr'!I11</f>
        <v>276571.53000000003</v>
      </c>
      <c r="J11" s="90">
        <f>+'Tuition-2Yr'!J11+'State Appropriations-2Yr'!J11+'Local Appropriations-2Yr'!J11+'Fed Contracts Grnts-2Yr'!J11+'Other Contracts Grnts-2Yr'!J11+'Investment Income-2Yr'!J11+'All Other E&amp;G-2Yr'!J11</f>
        <v>313912.46699999989</v>
      </c>
      <c r="K11" s="90">
        <f>+'Tuition-2Yr'!K11+'State Appropriations-2Yr'!K11+'Local Appropriations-2Yr'!K11+'Fed Contracts Grnts-2Yr'!K11+'Other Contracts Grnts-2Yr'!K11+'Investment Income-2Yr'!K11+'All Other E&amp;G-2Yr'!K11</f>
        <v>357431.97000000003</v>
      </c>
      <c r="L11" s="90">
        <f>+'Tuition-2Yr'!L11+'State Appropriations-2Yr'!L11+'Local Appropriations-2Yr'!L11+'Fed Contracts Grnts-2Yr'!L11+'Other Contracts Grnts-2Yr'!L11+'Investment Income-2Yr'!L11+'All Other E&amp;G-2Yr'!L11</f>
        <v>414423.78</v>
      </c>
      <c r="M11" s="90">
        <f>+'Tuition-2Yr'!M11+'State Appropriations-2Yr'!M11+'Local Appropriations-2Yr'!M11+'Fed Contracts Grnts-2Yr'!M11+'Other Contracts Grnts-2Yr'!M11+'Investment Income-2Yr'!M11+'All Other E&amp;G-2Yr'!M11</f>
        <v>464653.00600000005</v>
      </c>
      <c r="N11" s="90">
        <f>+'Tuition-2Yr'!N11+'State Appropriations-2Yr'!N11+'Local Appropriations-2Yr'!N11+'Fed Contracts Grnts-2Yr'!N11+'Other Contracts Grnts-2Yr'!N11+'Investment Income-2Yr'!N11+'All Other E&amp;G-2Yr'!N11</f>
        <v>382705.2950000001</v>
      </c>
      <c r="O11" s="90">
        <f>+'Tuition-2Yr'!O11+'State Appropriations-2Yr'!O11+'Local Appropriations-2Yr'!O11+'Fed Contracts Grnts-2Yr'!O11+'Other Contracts Grnts-2Yr'!O11+'Investment Income-2Yr'!O11+'All Other E&amp;G-2Yr'!O11</f>
        <v>406283.61050999997</v>
      </c>
      <c r="P11" s="90">
        <f>+'Tuition-2Yr'!P11+'State Appropriations-2Yr'!P11+'Local Appropriations-2Yr'!P11+'Fed Contracts Grnts-2Yr'!P11+'Other Contracts Grnts-2Yr'!P11+'Investment Income-2Yr'!P11+'All Other E&amp;G-2Yr'!P11</f>
        <v>0</v>
      </c>
      <c r="Q11" s="90">
        <f>+'Tuition-2Yr'!Q11+'State Appropriations-2Yr'!Q11+'Local Appropriations-2Yr'!Q11+'Fed Contracts Grnts-2Yr'!Q11+'Other Contracts Grnts-2Yr'!Q11+'Investment Income-2Yr'!Q11+'All Other E&amp;G-2Yr'!Q11</f>
        <v>0</v>
      </c>
      <c r="R11" s="90">
        <f>+'Tuition-2Yr'!R11+'State Appropriations-2Yr'!R11+'Local Appropriations-2Yr'!R11+'Fed Contracts Grnts-2Yr'!R11+'Other Contracts Grnts-2Yr'!R11+'Investment Income-2Yr'!R11+'All Other E&amp;G-2Yr'!R11</f>
        <v>672689.72200000007</v>
      </c>
      <c r="S11" s="90">
        <f>+'Tuition-2Yr'!S11+'State Appropriations-2Yr'!S11+'Local Appropriations-2Yr'!S11+'Fed Contracts Grnts-2Yr'!S11+'Other Contracts Grnts-2Yr'!S11+'Investment Income-2Yr'!S11+'All Other E&amp;G-2Yr'!S11</f>
        <v>763830.20800000022</v>
      </c>
      <c r="T11" s="90">
        <f>+'Tuition-2Yr'!T11+'State Appropriations-2Yr'!T11+'Local Appropriations-2Yr'!T11+'Fed Contracts Grnts-2Yr'!T11+'Other Contracts Grnts-2Yr'!T11+'Investment Income-2Yr'!T11+'All Other E&amp;G-2Yr'!T11</f>
        <v>816856.0399999998</v>
      </c>
      <c r="U11" s="90">
        <f>+'Tuition-2Yr'!U11+'State Appropriations-2Yr'!U11+'Local Appropriations-2Yr'!U11+'Fed Contracts Grnts-2Yr'!U11+'Other Contracts Grnts-2Yr'!U11+'Investment Income-2Yr'!U11+'All Other E&amp;G-2Yr'!U11</f>
        <v>749160.58199999994</v>
      </c>
      <c r="V11" s="90">
        <f>+'Tuition-2Yr'!V11+'State Appropriations-2Yr'!V11+'Local Appropriations-2Yr'!V11+'Fed Contracts Grnts-2Yr'!V11+'Other Contracts Grnts-2Yr'!V11+'Investment Income-2Yr'!V11+'All Other E&amp;G-2Yr'!V11</f>
        <v>815846.69699999993</v>
      </c>
      <c r="W11" s="90">
        <f>+'Tuition-2Yr'!W11+'State Appropriations-2Yr'!W11+'Local Appropriations-2Yr'!W11+'Fed Contracts Grnts-2Yr'!W11+'Other Contracts Grnts-2Yr'!W11+'Investment Income-2Yr'!W11+'All Other E&amp;G-2Yr'!W11</f>
        <v>863449.51399999997</v>
      </c>
      <c r="X11" s="90">
        <f>+'Tuition-2Yr'!X11+'State Appropriations-2Yr'!X11+'Local Appropriations-2Yr'!X11+'Fed Contracts Grnts-2Yr'!X11+'Other Contracts Grnts-2Yr'!X11+'Investment Income-2Yr'!X11+'All Other E&amp;G-2Yr'!X11</f>
        <v>904249.46799999988</v>
      </c>
      <c r="Y11" s="90">
        <f>+'Tuition-2Yr'!Y11+'State Appropriations-2Yr'!Y11+'Local Appropriations-2Yr'!Y11+'Fed Contracts Grnts-2Yr'!Y11+'Other Contracts Grnts-2Yr'!Y11+'Investment Income-2Yr'!Y11+'All Other E&amp;G-2Yr'!Y11</f>
        <v>892147.799</v>
      </c>
      <c r="Z11" s="90">
        <f>+'Tuition-2Yr'!Z11+'State Appropriations-2Yr'!Z11+'Local Appropriations-2Yr'!Z11+'Fed Contracts Grnts-2Yr'!Z11+'Other Contracts Grnts-2Yr'!Z11+'Investment Income-2Yr'!Z11+'All Other E&amp;G-2Yr'!Z11</f>
        <v>968287.45599999989</v>
      </c>
      <c r="AA11" s="90">
        <f>+'Tuition-2Yr'!AA11+'State Appropriations-2Yr'!AA11+'Local Appropriations-2Yr'!AA11+'Fed Contracts Grnts-2Yr'!AA11+'Other Contracts Grnts-2Yr'!AA11+'Investment Income-2Yr'!AA11+'All Other E&amp;G-2Yr'!AA11</f>
        <v>544947.58699999994</v>
      </c>
      <c r="AB11" s="90">
        <f>+'Tuition-2Yr'!AB11+'State Appropriations-2Yr'!AB11+'Local Appropriations-2Yr'!AB11+'Fed Contracts Grnts-2Yr'!AB11+'Other Contracts Grnts-2Yr'!AB11+'Investment Income-2Yr'!AB11+'All Other E&amp;G-2Yr'!AB11</f>
        <v>1444578.2080000001</v>
      </c>
      <c r="AC11" s="90">
        <f>+'Tuition-2Yr'!AC11+'State Appropriations-2Yr'!AC11+'Local Appropriations-2Yr'!AC11+'Fed Contracts Grnts-2Yr'!AC11+'Other Contracts Grnts-2Yr'!AC11+'Investment Income-2Yr'!AC11+'All Other E&amp;G-2Yr'!AC11</f>
        <v>1599843</v>
      </c>
      <c r="AD11" s="90">
        <f>+'Tuition-2Yr'!AD11+'State Appropriations-2Yr'!AD11+'Local Appropriations-2Yr'!AD11+'Fed Contracts Grnts-2Yr'!AD11+'Other Contracts Grnts-2Yr'!AD11+'Investment Income-2Yr'!AD11+'All Other E&amp;G-2Yr'!AD11</f>
        <v>1653457.13</v>
      </c>
      <c r="AE11" s="90">
        <f>+'Tuition-2Yr'!AE11+'State Appropriations-2Yr'!AE11+'Local Appropriations-2Yr'!AE11+'Fed Contracts Grnts-2Yr'!AE11+'Other Contracts Grnts-2Yr'!AE11+'Investment Income-2Yr'!AE11+'All Other E&amp;G-2Yr'!AE11</f>
        <v>1367579.898</v>
      </c>
      <c r="AF11" s="90">
        <f>+'Tuition-2Yr'!AF11+'State Appropriations-2Yr'!AF11+'Local Appropriations-2Yr'!AF11+'Fed Contracts Grnts-2Yr'!AF11+'Other Contracts Grnts-2Yr'!AF11+'Investment Income-2Yr'!AF11+'All Other E&amp;G-2Yr'!AF11</f>
        <v>578387.47399999993</v>
      </c>
      <c r="AG11" s="90">
        <f>+'Tuition-2Yr'!AG11+'State Appropriations-2Yr'!AG11+'Local Appropriations-2Yr'!AG11+'Fed Contracts Grnts-2Yr'!AG11+'Other Contracts Grnts-2Yr'!AG11+'Investment Income-2Yr'!AG11+'All Other E&amp;G-2Yr'!AG11</f>
        <v>588655.44900000002</v>
      </c>
      <c r="AH11" s="90">
        <f>+'Tuition-2Yr'!AH11+'State Appropriations-2Yr'!AH11+'Local Appropriations-2Yr'!AH11+'Fed Contracts Grnts-2Yr'!AH11+'Other Contracts Grnts-2Yr'!AH11+'Investment Income-2Yr'!AH11+'All Other E&amp;G-2Yr'!AH11</f>
        <v>1325863.014</v>
      </c>
      <c r="AI11" s="90">
        <f>+'Tuition-2Yr'!AI11+'State Appropriations-2Yr'!AI11+'Local Appropriations-2Yr'!AI11+'Fed Contracts Grnts-2Yr'!AI11+'Other Contracts Grnts-2Yr'!AI11+'Investment Income-2Yr'!AI11+'All Other E&amp;G-2Yr'!AI11</f>
        <v>481136.18399999995</v>
      </c>
      <c r="AJ11" s="90">
        <f>+'Tuition-2Yr'!AJ11+'State Appropriations-2Yr'!AJ11+'Local Appropriations-2Yr'!AJ11+'Fed Contracts Grnts-2Yr'!AJ11+'Other Contracts Grnts-2Yr'!AJ11+'Investment Income-2Yr'!AJ11+'All Other E&amp;G-2Yr'!AJ11</f>
        <v>0</v>
      </c>
      <c r="AK11" s="90">
        <f>+'Tuition-2Yr'!AK11+'State Appropriations-2Yr'!AK11+'Local Appropriations-2Yr'!AK11+'Fed Contracts Grnts-2Yr'!AK11+'Other Contracts Grnts-2Yr'!AK11+'Investment Income-2Yr'!AK11+'All Other E&amp;G-2Yr'!AK11</f>
        <v>491686.68599999993</v>
      </c>
    </row>
    <row r="12" spans="1:37" ht="12.75" customHeight="1">
      <c r="A12" s="1" t="s">
        <v>26</v>
      </c>
      <c r="B12" s="90">
        <f>+'Tuition-2Yr'!B12+'State Appropriations-2Yr'!B12+'Local Appropriations-2Yr'!B12+'Fed Contracts Grnts-2Yr'!B12+'Other Contracts Grnts-2Yr'!B12+'Investment Income-2Yr'!B12+'All Other E&amp;G-2Yr'!B12</f>
        <v>45935</v>
      </c>
      <c r="C12" s="90">
        <f>+'Tuition-2Yr'!C12+'State Appropriations-2Yr'!C12+'Local Appropriations-2Yr'!C12+'Fed Contracts Grnts-2Yr'!C12+'Other Contracts Grnts-2Yr'!C12+'Investment Income-2Yr'!C12+'All Other E&amp;G-2Yr'!C12</f>
        <v>48653</v>
      </c>
      <c r="D12" s="90">
        <f>+'Tuition-2Yr'!D12+'State Appropriations-2Yr'!D12+'Local Appropriations-2Yr'!D12+'Fed Contracts Grnts-2Yr'!D12+'Other Contracts Grnts-2Yr'!D12+'Investment Income-2Yr'!D12+'All Other E&amp;G-2Yr'!D12</f>
        <v>53038</v>
      </c>
      <c r="E12" s="90">
        <f>+'Tuition-2Yr'!E12+'State Appropriations-2Yr'!E12+'Local Appropriations-2Yr'!E12+'Fed Contracts Grnts-2Yr'!E12+'Other Contracts Grnts-2Yr'!E12+'Investment Income-2Yr'!E12+'All Other E&amp;G-2Yr'!E12</f>
        <v>0</v>
      </c>
      <c r="F12" s="90">
        <f>+'Tuition-2Yr'!F12+'State Appropriations-2Yr'!F12+'Local Appropriations-2Yr'!F12+'Fed Contracts Grnts-2Yr'!F12+'Other Contracts Grnts-2Yr'!F12+'Investment Income-2Yr'!F12+'All Other E&amp;G-2Yr'!F12</f>
        <v>0</v>
      </c>
      <c r="G12" s="90">
        <f>+'Tuition-2Yr'!G12+'State Appropriations-2Yr'!G12+'Local Appropriations-2Yr'!G12+'Fed Contracts Grnts-2Yr'!G12+'Other Contracts Grnts-2Yr'!G12+'Investment Income-2Yr'!G12+'All Other E&amp;G-2Yr'!G12</f>
        <v>0</v>
      </c>
      <c r="H12" s="90">
        <f>+'Tuition-2Yr'!H12+'State Appropriations-2Yr'!H12+'Local Appropriations-2Yr'!H12+'Fed Contracts Grnts-2Yr'!H12+'Other Contracts Grnts-2Yr'!H12+'Investment Income-2Yr'!H12+'All Other E&amp;G-2Yr'!H12</f>
        <v>0</v>
      </c>
      <c r="I12" s="90">
        <f>+'Tuition-2Yr'!I12+'State Appropriations-2Yr'!I12+'Local Appropriations-2Yr'!I12+'Fed Contracts Grnts-2Yr'!I12+'Other Contracts Grnts-2Yr'!I12+'Investment Income-2Yr'!I12+'All Other E&amp;G-2Yr'!I12</f>
        <v>109229.542</v>
      </c>
      <c r="J12" s="90">
        <f>+'Tuition-2Yr'!J12+'State Appropriations-2Yr'!J12+'Local Appropriations-2Yr'!J12+'Fed Contracts Grnts-2Yr'!J12+'Other Contracts Grnts-2Yr'!J12+'Investment Income-2Yr'!J12+'All Other E&amp;G-2Yr'!J12</f>
        <v>132337.99700000003</v>
      </c>
      <c r="K12" s="90">
        <f>+'Tuition-2Yr'!K12+'State Appropriations-2Yr'!K12+'Local Appropriations-2Yr'!K12+'Fed Contracts Grnts-2Yr'!K12+'Other Contracts Grnts-2Yr'!K12+'Investment Income-2Yr'!K12+'All Other E&amp;G-2Yr'!K12</f>
        <v>139059.01400000002</v>
      </c>
      <c r="L12" s="90">
        <f>+'Tuition-2Yr'!L12+'State Appropriations-2Yr'!L12+'Local Appropriations-2Yr'!L12+'Fed Contracts Grnts-2Yr'!L12+'Other Contracts Grnts-2Yr'!L12+'Investment Income-2Yr'!L12+'All Other E&amp;G-2Yr'!L12</f>
        <v>148663.77600000001</v>
      </c>
      <c r="M12" s="90">
        <f>+'Tuition-2Yr'!M12+'State Appropriations-2Yr'!M12+'Local Appropriations-2Yr'!M12+'Fed Contracts Grnts-2Yr'!M12+'Other Contracts Grnts-2Yr'!M12+'Investment Income-2Yr'!M12+'All Other E&amp;G-2Yr'!M12</f>
        <v>153571.057</v>
      </c>
      <c r="N12" s="90">
        <f>+'Tuition-2Yr'!N12+'State Appropriations-2Yr'!N12+'Local Appropriations-2Yr'!N12+'Fed Contracts Grnts-2Yr'!N12+'Other Contracts Grnts-2Yr'!N12+'Investment Income-2Yr'!N12+'All Other E&amp;G-2Yr'!N12</f>
        <v>156540.37699999998</v>
      </c>
      <c r="O12" s="90">
        <f>+'Tuition-2Yr'!O12+'State Appropriations-2Yr'!O12+'Local Appropriations-2Yr'!O12+'Fed Contracts Grnts-2Yr'!O12+'Other Contracts Grnts-2Yr'!O12+'Investment Income-2Yr'!O12+'All Other E&amp;G-2Yr'!O12</f>
        <v>172500.185</v>
      </c>
      <c r="P12" s="90">
        <f>+'Tuition-2Yr'!P12+'State Appropriations-2Yr'!P12+'Local Appropriations-2Yr'!P12+'Fed Contracts Grnts-2Yr'!P12+'Other Contracts Grnts-2Yr'!P12+'Investment Income-2Yr'!P12+'All Other E&amp;G-2Yr'!P12</f>
        <v>0</v>
      </c>
      <c r="Q12" s="90">
        <f>+'Tuition-2Yr'!Q12+'State Appropriations-2Yr'!Q12+'Local Appropriations-2Yr'!Q12+'Fed Contracts Grnts-2Yr'!Q12+'Other Contracts Grnts-2Yr'!Q12+'Investment Income-2Yr'!Q12+'All Other E&amp;G-2Yr'!Q12</f>
        <v>0</v>
      </c>
      <c r="R12" s="90">
        <f>+'Tuition-2Yr'!R12+'State Appropriations-2Yr'!R12+'Local Appropriations-2Yr'!R12+'Fed Contracts Grnts-2Yr'!R12+'Other Contracts Grnts-2Yr'!R12+'Investment Income-2Yr'!R12+'All Other E&amp;G-2Yr'!R12</f>
        <v>345410.11800000007</v>
      </c>
      <c r="S12" s="90">
        <f>+'Tuition-2Yr'!S12+'State Appropriations-2Yr'!S12+'Local Appropriations-2Yr'!S12+'Fed Contracts Grnts-2Yr'!S12+'Other Contracts Grnts-2Yr'!S12+'Investment Income-2Yr'!S12+'All Other E&amp;G-2Yr'!S12</f>
        <v>380740.38300000003</v>
      </c>
      <c r="T12" s="90">
        <f>+'Tuition-2Yr'!T12+'State Appropriations-2Yr'!T12+'Local Appropriations-2Yr'!T12+'Fed Contracts Grnts-2Yr'!T12+'Other Contracts Grnts-2Yr'!T12+'Investment Income-2Yr'!T12+'All Other E&amp;G-2Yr'!T12</f>
        <v>31721.755999999998</v>
      </c>
      <c r="U12" s="90">
        <f>+'Tuition-2Yr'!U12+'State Appropriations-2Yr'!U12+'Local Appropriations-2Yr'!U12+'Fed Contracts Grnts-2Yr'!U12+'Other Contracts Grnts-2Yr'!U12+'Investment Income-2Yr'!U12+'All Other E&amp;G-2Yr'!U12</f>
        <v>29224.599000000002</v>
      </c>
      <c r="V12" s="90">
        <f>+'Tuition-2Yr'!V12+'State Appropriations-2Yr'!V12+'Local Appropriations-2Yr'!V12+'Fed Contracts Grnts-2Yr'!V12+'Other Contracts Grnts-2Yr'!V12+'Investment Income-2Yr'!V12+'All Other E&amp;G-2Yr'!V12</f>
        <v>31708.478000000003</v>
      </c>
      <c r="W12" s="90">
        <f>+'Tuition-2Yr'!W12+'State Appropriations-2Yr'!W12+'Local Appropriations-2Yr'!W12+'Fed Contracts Grnts-2Yr'!W12+'Other Contracts Grnts-2Yr'!W12+'Investment Income-2Yr'!W12+'All Other E&amp;G-2Yr'!W12</f>
        <v>418950.35200000001</v>
      </c>
      <c r="X12" s="90">
        <f>+'Tuition-2Yr'!X12+'State Appropriations-2Yr'!X12+'Local Appropriations-2Yr'!X12+'Fed Contracts Grnts-2Yr'!X12+'Other Contracts Grnts-2Yr'!X12+'Investment Income-2Yr'!X12+'All Other E&amp;G-2Yr'!X12</f>
        <v>403288.95299999998</v>
      </c>
      <c r="Y12" s="90">
        <f>+'Tuition-2Yr'!Y12+'State Appropriations-2Yr'!Y12+'Local Appropriations-2Yr'!Y12+'Fed Contracts Grnts-2Yr'!Y12+'Other Contracts Grnts-2Yr'!Y12+'Investment Income-2Yr'!Y12+'All Other E&amp;G-2Yr'!Y12</f>
        <v>422347.64599999995</v>
      </c>
      <c r="Z12" s="90">
        <f>+'Tuition-2Yr'!Z12+'State Appropriations-2Yr'!Z12+'Local Appropriations-2Yr'!Z12+'Fed Contracts Grnts-2Yr'!Z12+'Other Contracts Grnts-2Yr'!Z12+'Investment Income-2Yr'!Z12+'All Other E&amp;G-2Yr'!Z12</f>
        <v>463356.06799999997</v>
      </c>
      <c r="AA12" s="90">
        <f>+'Tuition-2Yr'!AA12+'State Appropriations-2Yr'!AA12+'Local Appropriations-2Yr'!AA12+'Fed Contracts Grnts-2Yr'!AA12+'Other Contracts Grnts-2Yr'!AA12+'Investment Income-2Yr'!AA12+'All Other E&amp;G-2Yr'!AA12</f>
        <v>555928.95600000001</v>
      </c>
      <c r="AB12" s="90">
        <f>+'Tuition-2Yr'!AB12+'State Appropriations-2Yr'!AB12+'Local Appropriations-2Yr'!AB12+'Fed Contracts Grnts-2Yr'!AB12+'Other Contracts Grnts-2Yr'!AB12+'Investment Income-2Yr'!AB12+'All Other E&amp;G-2Yr'!AB12</f>
        <v>692469.38299999991</v>
      </c>
      <c r="AC12" s="90">
        <f>+'Tuition-2Yr'!AC12+'State Appropriations-2Yr'!AC12+'Local Appropriations-2Yr'!AC12+'Fed Contracts Grnts-2Yr'!AC12+'Other Contracts Grnts-2Yr'!AC12+'Investment Income-2Yr'!AC12+'All Other E&amp;G-2Yr'!AC12</f>
        <v>738136</v>
      </c>
      <c r="AD12" s="90">
        <f>+'Tuition-2Yr'!AD12+'State Appropriations-2Yr'!AD12+'Local Appropriations-2Yr'!AD12+'Fed Contracts Grnts-2Yr'!AD12+'Other Contracts Grnts-2Yr'!AD12+'Investment Income-2Yr'!AD12+'All Other E&amp;G-2Yr'!AD12</f>
        <v>741744.79599999986</v>
      </c>
      <c r="AE12" s="90">
        <f>+'Tuition-2Yr'!AE12+'State Appropriations-2Yr'!AE12+'Local Appropriations-2Yr'!AE12+'Fed Contracts Grnts-2Yr'!AE12+'Other Contracts Grnts-2Yr'!AE12+'Investment Income-2Yr'!AE12+'All Other E&amp;G-2Yr'!AE12</f>
        <v>722720.32299999997</v>
      </c>
      <c r="AF12" s="90">
        <f>+'Tuition-2Yr'!AF12+'State Appropriations-2Yr'!AF12+'Local Appropriations-2Yr'!AF12+'Fed Contracts Grnts-2Yr'!AF12+'Other Contracts Grnts-2Yr'!AF12+'Investment Income-2Yr'!AF12+'All Other E&amp;G-2Yr'!AF12</f>
        <v>595554.39199999999</v>
      </c>
      <c r="AG12" s="90">
        <f>+'Tuition-2Yr'!AG12+'State Appropriations-2Yr'!AG12+'Local Appropriations-2Yr'!AG12+'Fed Contracts Grnts-2Yr'!AG12+'Other Contracts Grnts-2Yr'!AG12+'Investment Income-2Yr'!AG12+'All Other E&amp;G-2Yr'!AG12</f>
        <v>588690.82500000007</v>
      </c>
      <c r="AH12" s="90">
        <f>+'Tuition-2Yr'!AH12+'State Appropriations-2Yr'!AH12+'Local Appropriations-2Yr'!AH12+'Fed Contracts Grnts-2Yr'!AH12+'Other Contracts Grnts-2Yr'!AH12+'Investment Income-2Yr'!AH12+'All Other E&amp;G-2Yr'!AH12</f>
        <v>612220.09400000004</v>
      </c>
      <c r="AI12" s="90">
        <f>+'Tuition-2Yr'!AI12+'State Appropriations-2Yr'!AI12+'Local Appropriations-2Yr'!AI12+'Fed Contracts Grnts-2Yr'!AI12+'Other Contracts Grnts-2Yr'!AI12+'Investment Income-2Yr'!AI12+'All Other E&amp;G-2Yr'!AI12</f>
        <v>533514.94200000004</v>
      </c>
      <c r="AJ12" s="90">
        <f>+'Tuition-2Yr'!AJ12+'State Appropriations-2Yr'!AJ12+'Local Appropriations-2Yr'!AJ12+'Fed Contracts Grnts-2Yr'!AJ12+'Other Contracts Grnts-2Yr'!AJ12+'Investment Income-2Yr'!AJ12+'All Other E&amp;G-2Yr'!AJ12</f>
        <v>0</v>
      </c>
      <c r="AK12" s="90">
        <f>+'Tuition-2Yr'!AK12+'State Appropriations-2Yr'!AK12+'Local Appropriations-2Yr'!AK12+'Fed Contracts Grnts-2Yr'!AK12+'Other Contracts Grnts-2Yr'!AK12+'Investment Income-2Yr'!AK12+'All Other E&amp;G-2Yr'!AK12</f>
        <v>661840.76500000001</v>
      </c>
    </row>
    <row r="13" spans="1:37" ht="12.75" customHeight="1">
      <c r="A13" s="1" t="s">
        <v>27</v>
      </c>
      <c r="B13" s="90">
        <f>+'Tuition-2Yr'!B13+'State Appropriations-2Yr'!B13+'Local Appropriations-2Yr'!B13+'Fed Contracts Grnts-2Yr'!B13+'Other Contracts Grnts-2Yr'!B13+'Investment Income-2Yr'!B13+'All Other E&amp;G-2Yr'!B13</f>
        <v>34993</v>
      </c>
      <c r="C13" s="90">
        <f>+'Tuition-2Yr'!C13+'State Appropriations-2Yr'!C13+'Local Appropriations-2Yr'!C13+'Fed Contracts Grnts-2Yr'!C13+'Other Contracts Grnts-2Yr'!C13+'Investment Income-2Yr'!C13+'All Other E&amp;G-2Yr'!C13</f>
        <v>38515</v>
      </c>
      <c r="D13" s="90">
        <f>+'Tuition-2Yr'!D13+'State Appropriations-2Yr'!D13+'Local Appropriations-2Yr'!D13+'Fed Contracts Grnts-2Yr'!D13+'Other Contracts Grnts-2Yr'!D13+'Investment Income-2Yr'!D13+'All Other E&amp;G-2Yr'!D13</f>
        <v>41033</v>
      </c>
      <c r="E13" s="90">
        <f>+'Tuition-2Yr'!E13+'State Appropriations-2Yr'!E13+'Local Appropriations-2Yr'!E13+'Fed Contracts Grnts-2Yr'!E13+'Other Contracts Grnts-2Yr'!E13+'Investment Income-2Yr'!E13+'All Other E&amp;G-2Yr'!E13</f>
        <v>0</v>
      </c>
      <c r="F13" s="90">
        <f>+'Tuition-2Yr'!F13+'State Appropriations-2Yr'!F13+'Local Appropriations-2Yr'!F13+'Fed Contracts Grnts-2Yr'!F13+'Other Contracts Grnts-2Yr'!F13+'Investment Income-2Yr'!F13+'All Other E&amp;G-2Yr'!F13</f>
        <v>0</v>
      </c>
      <c r="G13" s="90">
        <f>+'Tuition-2Yr'!G13+'State Appropriations-2Yr'!G13+'Local Appropriations-2Yr'!G13+'Fed Contracts Grnts-2Yr'!G13+'Other Contracts Grnts-2Yr'!G13+'Investment Income-2Yr'!G13+'All Other E&amp;G-2Yr'!G13</f>
        <v>0</v>
      </c>
      <c r="H13" s="90">
        <f>+'Tuition-2Yr'!H13+'State Appropriations-2Yr'!H13+'Local Appropriations-2Yr'!H13+'Fed Contracts Grnts-2Yr'!H13+'Other Contracts Grnts-2Yr'!H13+'Investment Income-2Yr'!H13+'All Other E&amp;G-2Yr'!H13</f>
        <v>0</v>
      </c>
      <c r="I13" s="90">
        <f>+'Tuition-2Yr'!I13+'State Appropriations-2Yr'!I13+'Local Appropriations-2Yr'!I13+'Fed Contracts Grnts-2Yr'!I13+'Other Contracts Grnts-2Yr'!I13+'Investment Income-2Yr'!I13+'All Other E&amp;G-2Yr'!I13</f>
        <v>67154.485000000001</v>
      </c>
      <c r="J13" s="90">
        <f>+'Tuition-2Yr'!J13+'State Appropriations-2Yr'!J13+'Local Appropriations-2Yr'!J13+'Fed Contracts Grnts-2Yr'!J13+'Other Contracts Grnts-2Yr'!J13+'Investment Income-2Yr'!J13+'All Other E&amp;G-2Yr'!J13</f>
        <v>79632.660999999993</v>
      </c>
      <c r="K13" s="90">
        <f>+'Tuition-2Yr'!K13+'State Appropriations-2Yr'!K13+'Local Appropriations-2Yr'!K13+'Fed Contracts Grnts-2Yr'!K13+'Other Contracts Grnts-2Yr'!K13+'Investment Income-2Yr'!K13+'All Other E&amp;G-2Yr'!K13</f>
        <v>84286.120999999999</v>
      </c>
      <c r="L13" s="90">
        <f>+'Tuition-2Yr'!L13+'State Appropriations-2Yr'!L13+'Local Appropriations-2Yr'!L13+'Fed Contracts Grnts-2Yr'!L13+'Other Contracts Grnts-2Yr'!L13+'Investment Income-2Yr'!L13+'All Other E&amp;G-2Yr'!L13</f>
        <v>93203.606</v>
      </c>
      <c r="M13" s="90">
        <f>+'Tuition-2Yr'!M13+'State Appropriations-2Yr'!M13+'Local Appropriations-2Yr'!M13+'Fed Contracts Grnts-2Yr'!M13+'Other Contracts Grnts-2Yr'!M13+'Investment Income-2Yr'!M13+'All Other E&amp;G-2Yr'!M13</f>
        <v>98616.828999999998</v>
      </c>
      <c r="N13" s="90">
        <f>+'Tuition-2Yr'!N13+'State Appropriations-2Yr'!N13+'Local Appropriations-2Yr'!N13+'Fed Contracts Grnts-2Yr'!N13+'Other Contracts Grnts-2Yr'!N13+'Investment Income-2Yr'!N13+'All Other E&amp;G-2Yr'!N13</f>
        <v>165650.36199999996</v>
      </c>
      <c r="O13" s="90">
        <f>+'Tuition-2Yr'!O13+'State Appropriations-2Yr'!O13+'Local Appropriations-2Yr'!O13+'Fed Contracts Grnts-2Yr'!O13+'Other Contracts Grnts-2Yr'!O13+'Investment Income-2Yr'!O13+'All Other E&amp;G-2Yr'!O13</f>
        <v>174218.20714000001</v>
      </c>
      <c r="P13" s="90">
        <f>+'Tuition-2Yr'!P13+'State Appropriations-2Yr'!P13+'Local Appropriations-2Yr'!P13+'Fed Contracts Grnts-2Yr'!P13+'Other Contracts Grnts-2Yr'!P13+'Investment Income-2Yr'!P13+'All Other E&amp;G-2Yr'!P13</f>
        <v>0</v>
      </c>
      <c r="Q13" s="90">
        <f>+'Tuition-2Yr'!Q13+'State Appropriations-2Yr'!Q13+'Local Appropriations-2Yr'!Q13+'Fed Contracts Grnts-2Yr'!Q13+'Other Contracts Grnts-2Yr'!Q13+'Investment Income-2Yr'!Q13+'All Other E&amp;G-2Yr'!Q13</f>
        <v>0</v>
      </c>
      <c r="R13" s="90">
        <f>+'Tuition-2Yr'!R13+'State Appropriations-2Yr'!R13+'Local Appropriations-2Yr'!R13+'Fed Contracts Grnts-2Yr'!R13+'Other Contracts Grnts-2Yr'!R13+'Investment Income-2Yr'!R13+'All Other E&amp;G-2Yr'!R13</f>
        <v>212561.33499999999</v>
      </c>
      <c r="S13" s="90">
        <f>+'Tuition-2Yr'!S13+'State Appropriations-2Yr'!S13+'Local Appropriations-2Yr'!S13+'Fed Contracts Grnts-2Yr'!S13+'Other Contracts Grnts-2Yr'!S13+'Investment Income-2Yr'!S13+'All Other E&amp;G-2Yr'!S13</f>
        <v>229980.30999999997</v>
      </c>
      <c r="T13" s="90">
        <f>+'Tuition-2Yr'!T13+'State Appropriations-2Yr'!T13+'Local Appropriations-2Yr'!T13+'Fed Contracts Grnts-2Yr'!T13+'Other Contracts Grnts-2Yr'!T13+'Investment Income-2Yr'!T13+'All Other E&amp;G-2Yr'!T13</f>
        <v>292455.74500000005</v>
      </c>
      <c r="U13" s="90">
        <f>+'Tuition-2Yr'!U13+'State Appropriations-2Yr'!U13+'Local Appropriations-2Yr'!U13+'Fed Contracts Grnts-2Yr'!U13+'Other Contracts Grnts-2Yr'!U13+'Investment Income-2Yr'!U13+'All Other E&amp;G-2Yr'!U13</f>
        <v>315541.14399999997</v>
      </c>
      <c r="V13" s="90">
        <f>+'Tuition-2Yr'!V13+'State Appropriations-2Yr'!V13+'Local Appropriations-2Yr'!V13+'Fed Contracts Grnts-2Yr'!V13+'Other Contracts Grnts-2Yr'!V13+'Investment Income-2Yr'!V13+'All Other E&amp;G-2Yr'!V13</f>
        <v>337842.34100000001</v>
      </c>
      <c r="W13" s="90">
        <f>+'Tuition-2Yr'!W13+'State Appropriations-2Yr'!W13+'Local Appropriations-2Yr'!W13+'Fed Contracts Grnts-2Yr'!W13+'Other Contracts Grnts-2Yr'!W13+'Investment Income-2Yr'!W13+'All Other E&amp;G-2Yr'!W13</f>
        <v>389163.46800000005</v>
      </c>
      <c r="X13" s="90">
        <f>+'Tuition-2Yr'!X13+'State Appropriations-2Yr'!X13+'Local Appropriations-2Yr'!X13+'Fed Contracts Grnts-2Yr'!X13+'Other Contracts Grnts-2Yr'!X13+'Investment Income-2Yr'!X13+'All Other E&amp;G-2Yr'!X13</f>
        <v>330223.234</v>
      </c>
      <c r="Y13" s="90">
        <f>+'Tuition-2Yr'!Y13+'State Appropriations-2Yr'!Y13+'Local Appropriations-2Yr'!Y13+'Fed Contracts Grnts-2Yr'!Y13+'Other Contracts Grnts-2Yr'!Y13+'Investment Income-2Yr'!Y13+'All Other E&amp;G-2Yr'!Y13</f>
        <v>393124.98400000005</v>
      </c>
      <c r="Z13" s="90">
        <f>+'Tuition-2Yr'!Z13+'State Appropriations-2Yr'!Z13+'Local Appropriations-2Yr'!Z13+'Fed Contracts Grnts-2Yr'!Z13+'Other Contracts Grnts-2Yr'!Z13+'Investment Income-2Yr'!Z13+'All Other E&amp;G-2Yr'!Z13</f>
        <v>461040.72699999996</v>
      </c>
      <c r="AA13" s="90">
        <f>+'Tuition-2Yr'!AA13+'State Appropriations-2Yr'!AA13+'Local Appropriations-2Yr'!AA13+'Fed Contracts Grnts-2Yr'!AA13+'Other Contracts Grnts-2Yr'!AA13+'Investment Income-2Yr'!AA13+'All Other E&amp;G-2Yr'!AA13</f>
        <v>322473.97700000001</v>
      </c>
      <c r="AB13" s="90">
        <f>+'Tuition-2Yr'!AB13+'State Appropriations-2Yr'!AB13+'Local Appropriations-2Yr'!AB13+'Fed Contracts Grnts-2Yr'!AB13+'Other Contracts Grnts-2Yr'!AB13+'Investment Income-2Yr'!AB13+'All Other E&amp;G-2Yr'!AB13</f>
        <v>523992.32700000005</v>
      </c>
      <c r="AC13" s="90">
        <f>+'Tuition-2Yr'!AC13+'State Appropriations-2Yr'!AC13+'Local Appropriations-2Yr'!AC13+'Fed Contracts Grnts-2Yr'!AC13+'Other Contracts Grnts-2Yr'!AC13+'Investment Income-2Yr'!AC13+'All Other E&amp;G-2Yr'!AC13</f>
        <v>599572</v>
      </c>
      <c r="AD13" s="90">
        <f>+'Tuition-2Yr'!AD13+'State Appropriations-2Yr'!AD13+'Local Appropriations-2Yr'!AD13+'Fed Contracts Grnts-2Yr'!AD13+'Other Contracts Grnts-2Yr'!AD13+'Investment Income-2Yr'!AD13+'All Other E&amp;G-2Yr'!AD13</f>
        <v>562549.22899999993</v>
      </c>
      <c r="AE13" s="90">
        <f>+'Tuition-2Yr'!AE13+'State Appropriations-2Yr'!AE13+'Local Appropriations-2Yr'!AE13+'Fed Contracts Grnts-2Yr'!AE13+'Other Contracts Grnts-2Yr'!AE13+'Investment Income-2Yr'!AE13+'All Other E&amp;G-2Yr'!AE13</f>
        <v>525577.37100000004</v>
      </c>
      <c r="AF13" s="90">
        <f>+'Tuition-2Yr'!AF13+'State Appropriations-2Yr'!AF13+'Local Appropriations-2Yr'!AF13+'Fed Contracts Grnts-2Yr'!AF13+'Other Contracts Grnts-2Yr'!AF13+'Investment Income-2Yr'!AF13+'All Other E&amp;G-2Yr'!AF13</f>
        <v>438427.60599999997</v>
      </c>
      <c r="AG13" s="90">
        <f>+'Tuition-2Yr'!AG13+'State Appropriations-2Yr'!AG13+'Local Appropriations-2Yr'!AG13+'Fed Contracts Grnts-2Yr'!AG13+'Other Contracts Grnts-2Yr'!AG13+'Investment Income-2Yr'!AG13+'All Other E&amp;G-2Yr'!AG13</f>
        <v>456187.98800000001</v>
      </c>
      <c r="AH13" s="90">
        <f>+'Tuition-2Yr'!AH13+'State Appropriations-2Yr'!AH13+'Local Appropriations-2Yr'!AH13+'Fed Contracts Grnts-2Yr'!AH13+'Other Contracts Grnts-2Yr'!AH13+'Investment Income-2Yr'!AH13+'All Other E&amp;G-2Yr'!AH13</f>
        <v>583647.62599999993</v>
      </c>
      <c r="AI13" s="90">
        <f>+'Tuition-2Yr'!AI13+'State Appropriations-2Yr'!AI13+'Local Appropriations-2Yr'!AI13+'Fed Contracts Grnts-2Yr'!AI13+'Other Contracts Grnts-2Yr'!AI13+'Investment Income-2Yr'!AI13+'All Other E&amp;G-2Yr'!AI13</f>
        <v>432111.32999999996</v>
      </c>
      <c r="AJ13" s="90">
        <f>+'Tuition-2Yr'!AJ13+'State Appropriations-2Yr'!AJ13+'Local Appropriations-2Yr'!AJ13+'Fed Contracts Grnts-2Yr'!AJ13+'Other Contracts Grnts-2Yr'!AJ13+'Investment Income-2Yr'!AJ13+'All Other E&amp;G-2Yr'!AJ13</f>
        <v>0</v>
      </c>
      <c r="AK13" s="90">
        <f>+'Tuition-2Yr'!AK13+'State Appropriations-2Yr'!AK13+'Local Appropriations-2Yr'!AK13+'Fed Contracts Grnts-2Yr'!AK13+'Other Contracts Grnts-2Yr'!AK13+'Investment Income-2Yr'!AK13+'All Other E&amp;G-2Yr'!AK13</f>
        <v>538585.79700000002</v>
      </c>
    </row>
    <row r="14" spans="1:37" ht="12.75" customHeight="1">
      <c r="A14" s="1" t="s">
        <v>28</v>
      </c>
      <c r="B14" s="90">
        <f>+'Tuition-2Yr'!B14+'State Appropriations-2Yr'!B14+'Local Appropriations-2Yr'!B14+'Fed Contracts Grnts-2Yr'!B14+'Other Contracts Grnts-2Yr'!B14+'Investment Income-2Yr'!B14+'All Other E&amp;G-2Yr'!B14</f>
        <v>225047</v>
      </c>
      <c r="C14" s="90">
        <f>+'Tuition-2Yr'!C14+'State Appropriations-2Yr'!C14+'Local Appropriations-2Yr'!C14+'Fed Contracts Grnts-2Yr'!C14+'Other Contracts Grnts-2Yr'!C14+'Investment Income-2Yr'!C14+'All Other E&amp;G-2Yr'!C14</f>
        <v>241105</v>
      </c>
      <c r="D14" s="90">
        <f>+'Tuition-2Yr'!D14+'State Appropriations-2Yr'!D14+'Local Appropriations-2Yr'!D14+'Fed Contracts Grnts-2Yr'!D14+'Other Contracts Grnts-2Yr'!D14+'Investment Income-2Yr'!D14+'All Other E&amp;G-2Yr'!D14</f>
        <v>260886</v>
      </c>
      <c r="E14" s="90">
        <f>+'Tuition-2Yr'!E14+'State Appropriations-2Yr'!E14+'Local Appropriations-2Yr'!E14+'Fed Contracts Grnts-2Yr'!E14+'Other Contracts Grnts-2Yr'!E14+'Investment Income-2Yr'!E14+'All Other E&amp;G-2Yr'!E14</f>
        <v>0</v>
      </c>
      <c r="F14" s="90">
        <f>+'Tuition-2Yr'!F14+'State Appropriations-2Yr'!F14+'Local Appropriations-2Yr'!F14+'Fed Contracts Grnts-2Yr'!F14+'Other Contracts Grnts-2Yr'!F14+'Investment Income-2Yr'!F14+'All Other E&amp;G-2Yr'!F14</f>
        <v>0</v>
      </c>
      <c r="G14" s="90">
        <f>+'Tuition-2Yr'!G14+'State Appropriations-2Yr'!G14+'Local Appropriations-2Yr'!G14+'Fed Contracts Grnts-2Yr'!G14+'Other Contracts Grnts-2Yr'!G14+'Investment Income-2Yr'!G14+'All Other E&amp;G-2Yr'!G14</f>
        <v>0</v>
      </c>
      <c r="H14" s="90">
        <f>+'Tuition-2Yr'!H14+'State Appropriations-2Yr'!H14+'Local Appropriations-2Yr'!H14+'Fed Contracts Grnts-2Yr'!H14+'Other Contracts Grnts-2Yr'!H14+'Investment Income-2Yr'!H14+'All Other E&amp;G-2Yr'!H14</f>
        <v>0</v>
      </c>
      <c r="I14" s="90">
        <f>+'Tuition-2Yr'!I14+'State Appropriations-2Yr'!I14+'Local Appropriations-2Yr'!I14+'Fed Contracts Grnts-2Yr'!I14+'Other Contracts Grnts-2Yr'!I14+'Investment Income-2Yr'!I14+'All Other E&amp;G-2Yr'!I14</f>
        <v>368424.09700000001</v>
      </c>
      <c r="J14" s="90">
        <f>+'Tuition-2Yr'!J14+'State Appropriations-2Yr'!J14+'Local Appropriations-2Yr'!J14+'Fed Contracts Grnts-2Yr'!J14+'Other Contracts Grnts-2Yr'!J14+'Investment Income-2Yr'!J14+'All Other E&amp;G-2Yr'!J14</f>
        <v>303286.55099999992</v>
      </c>
      <c r="K14" s="90">
        <f>+'Tuition-2Yr'!K14+'State Appropriations-2Yr'!K14+'Local Appropriations-2Yr'!K14+'Fed Contracts Grnts-2Yr'!K14+'Other Contracts Grnts-2Yr'!K14+'Investment Income-2Yr'!K14+'All Other E&amp;G-2Yr'!K14</f>
        <v>409983.84600000002</v>
      </c>
      <c r="L14" s="90">
        <f>+'Tuition-2Yr'!L14+'State Appropriations-2Yr'!L14+'Local Appropriations-2Yr'!L14+'Fed Contracts Grnts-2Yr'!L14+'Other Contracts Grnts-2Yr'!L14+'Investment Income-2Yr'!L14+'All Other E&amp;G-2Yr'!L14</f>
        <v>437178.63099999994</v>
      </c>
      <c r="M14" s="90">
        <f>+'Tuition-2Yr'!M14+'State Appropriations-2Yr'!M14+'Local Appropriations-2Yr'!M14+'Fed Contracts Grnts-2Yr'!M14+'Other Contracts Grnts-2Yr'!M14+'Investment Income-2Yr'!M14+'All Other E&amp;G-2Yr'!M14</f>
        <v>369789.89799999999</v>
      </c>
      <c r="N14" s="90">
        <f>+'Tuition-2Yr'!N14+'State Appropriations-2Yr'!N14+'Local Appropriations-2Yr'!N14+'Fed Contracts Grnts-2Yr'!N14+'Other Contracts Grnts-2Yr'!N14+'Investment Income-2Yr'!N14+'All Other E&amp;G-2Yr'!N14</f>
        <v>476815.87100000004</v>
      </c>
      <c r="O14" s="90">
        <f>+'Tuition-2Yr'!O14+'State Appropriations-2Yr'!O14+'Local Appropriations-2Yr'!O14+'Fed Contracts Grnts-2Yr'!O14+'Other Contracts Grnts-2Yr'!O14+'Investment Income-2Yr'!O14+'All Other E&amp;G-2Yr'!O14</f>
        <v>488418.82199999999</v>
      </c>
      <c r="P14" s="90">
        <f>+'Tuition-2Yr'!P14+'State Appropriations-2Yr'!P14+'Local Appropriations-2Yr'!P14+'Fed Contracts Grnts-2Yr'!P14+'Other Contracts Grnts-2Yr'!P14+'Investment Income-2Yr'!P14+'All Other E&amp;G-2Yr'!P14</f>
        <v>0</v>
      </c>
      <c r="Q14" s="90">
        <f>+'Tuition-2Yr'!Q14+'State Appropriations-2Yr'!Q14+'Local Appropriations-2Yr'!Q14+'Fed Contracts Grnts-2Yr'!Q14+'Other Contracts Grnts-2Yr'!Q14+'Investment Income-2Yr'!Q14+'All Other E&amp;G-2Yr'!Q14</f>
        <v>0</v>
      </c>
      <c r="R14" s="90">
        <f>+'Tuition-2Yr'!R14+'State Appropriations-2Yr'!R14+'Local Appropriations-2Yr'!R14+'Fed Contracts Grnts-2Yr'!R14+'Other Contracts Grnts-2Yr'!R14+'Investment Income-2Yr'!R14+'All Other E&amp;G-2Yr'!R14</f>
        <v>597558.39799999993</v>
      </c>
      <c r="S14" s="90">
        <f>+'Tuition-2Yr'!S14+'State Appropriations-2Yr'!S14+'Local Appropriations-2Yr'!S14+'Fed Contracts Grnts-2Yr'!S14+'Other Contracts Grnts-2Yr'!S14+'Investment Income-2Yr'!S14+'All Other E&amp;G-2Yr'!S14</f>
        <v>655235.005</v>
      </c>
      <c r="T14" s="90">
        <f>+'Tuition-2Yr'!T14+'State Appropriations-2Yr'!T14+'Local Appropriations-2Yr'!T14+'Fed Contracts Grnts-2Yr'!T14+'Other Contracts Grnts-2Yr'!T14+'Investment Income-2Yr'!T14+'All Other E&amp;G-2Yr'!T14</f>
        <v>699336.63999999978</v>
      </c>
      <c r="U14" s="90">
        <f>+'Tuition-2Yr'!U14+'State Appropriations-2Yr'!U14+'Local Appropriations-2Yr'!U14+'Fed Contracts Grnts-2Yr'!U14+'Other Contracts Grnts-2Yr'!U14+'Investment Income-2Yr'!U14+'All Other E&amp;G-2Yr'!U14</f>
        <v>743818.255</v>
      </c>
      <c r="V14" s="90">
        <f>+'Tuition-2Yr'!V14+'State Appropriations-2Yr'!V14+'Local Appropriations-2Yr'!V14+'Fed Contracts Grnts-2Yr'!V14+'Other Contracts Grnts-2Yr'!V14+'Investment Income-2Yr'!V14+'All Other E&amp;G-2Yr'!V14</f>
        <v>774005.25299999991</v>
      </c>
      <c r="W14" s="90">
        <f>+'Tuition-2Yr'!W14+'State Appropriations-2Yr'!W14+'Local Appropriations-2Yr'!W14+'Fed Contracts Grnts-2Yr'!W14+'Other Contracts Grnts-2Yr'!W14+'Investment Income-2Yr'!W14+'All Other E&amp;G-2Yr'!W14</f>
        <v>879291.23899999994</v>
      </c>
      <c r="X14" s="90">
        <f>+'Tuition-2Yr'!X14+'State Appropriations-2Yr'!X14+'Local Appropriations-2Yr'!X14+'Fed Contracts Grnts-2Yr'!X14+'Other Contracts Grnts-2Yr'!X14+'Investment Income-2Yr'!X14+'All Other E&amp;G-2Yr'!X14</f>
        <v>861379.95899999992</v>
      </c>
      <c r="Y14" s="90">
        <f>+'Tuition-2Yr'!Y14+'State Appropriations-2Yr'!Y14+'Local Appropriations-2Yr'!Y14+'Fed Contracts Grnts-2Yr'!Y14+'Other Contracts Grnts-2Yr'!Y14+'Investment Income-2Yr'!Y14+'All Other E&amp;G-2Yr'!Y14</f>
        <v>944351.69699999993</v>
      </c>
      <c r="Z14" s="90">
        <f>+'Tuition-2Yr'!Z14+'State Appropriations-2Yr'!Z14+'Local Appropriations-2Yr'!Z14+'Fed Contracts Grnts-2Yr'!Z14+'Other Contracts Grnts-2Yr'!Z14+'Investment Income-2Yr'!Z14+'All Other E&amp;G-2Yr'!Z14</f>
        <v>1049315.9080000001</v>
      </c>
      <c r="AA14" s="90">
        <f>+'Tuition-2Yr'!AA14+'State Appropriations-2Yr'!AA14+'Local Appropriations-2Yr'!AA14+'Fed Contracts Grnts-2Yr'!AA14+'Other Contracts Grnts-2Yr'!AA14+'Investment Income-2Yr'!AA14+'All Other E&amp;G-2Yr'!AA14</f>
        <v>1176947.7420000001</v>
      </c>
      <c r="AB14" s="90">
        <f>+'Tuition-2Yr'!AB14+'State Appropriations-2Yr'!AB14+'Local Appropriations-2Yr'!AB14+'Fed Contracts Grnts-2Yr'!AB14+'Other Contracts Grnts-2Yr'!AB14+'Investment Income-2Yr'!AB14+'All Other E&amp;G-2Yr'!AB14</f>
        <v>1282740.5299999998</v>
      </c>
      <c r="AC14" s="90">
        <f>+'Tuition-2Yr'!AC14+'State Appropriations-2Yr'!AC14+'Local Appropriations-2Yr'!AC14+'Fed Contracts Grnts-2Yr'!AC14+'Other Contracts Grnts-2Yr'!AC14+'Investment Income-2Yr'!AC14+'All Other E&amp;G-2Yr'!AC14</f>
        <v>1347726</v>
      </c>
      <c r="AD14" s="90">
        <f>+'Tuition-2Yr'!AD14+'State Appropriations-2Yr'!AD14+'Local Appropriations-2Yr'!AD14+'Fed Contracts Grnts-2Yr'!AD14+'Other Contracts Grnts-2Yr'!AD14+'Investment Income-2Yr'!AD14+'All Other E&amp;G-2Yr'!AD14</f>
        <v>1370492.5249999999</v>
      </c>
      <c r="AE14" s="90">
        <f>+'Tuition-2Yr'!AE14+'State Appropriations-2Yr'!AE14+'Local Appropriations-2Yr'!AE14+'Fed Contracts Grnts-2Yr'!AE14+'Other Contracts Grnts-2Yr'!AE14+'Investment Income-2Yr'!AE14+'All Other E&amp;G-2Yr'!AE14</f>
        <v>1386485.89</v>
      </c>
      <c r="AF14" s="90">
        <f>+'Tuition-2Yr'!AF14+'State Appropriations-2Yr'!AF14+'Local Appropriations-2Yr'!AF14+'Fed Contracts Grnts-2Yr'!AF14+'Other Contracts Grnts-2Yr'!AF14+'Investment Income-2Yr'!AF14+'All Other E&amp;G-2Yr'!AF14</f>
        <v>1400723.5759999999</v>
      </c>
      <c r="AG14" s="90">
        <f>+'Tuition-2Yr'!AG14+'State Appropriations-2Yr'!AG14+'Local Appropriations-2Yr'!AG14+'Fed Contracts Grnts-2Yr'!AG14+'Other Contracts Grnts-2Yr'!AG14+'Investment Income-2Yr'!AG14+'All Other E&amp;G-2Yr'!AG14</f>
        <v>1406629.16</v>
      </c>
      <c r="AH14" s="90">
        <f>+'Tuition-2Yr'!AH14+'State Appropriations-2Yr'!AH14+'Local Appropriations-2Yr'!AH14+'Fed Contracts Grnts-2Yr'!AH14+'Other Contracts Grnts-2Yr'!AH14+'Investment Income-2Yr'!AH14+'All Other E&amp;G-2Yr'!AH14</f>
        <v>1410422.5929999999</v>
      </c>
      <c r="AI14" s="90">
        <f>+'Tuition-2Yr'!AI14+'State Appropriations-2Yr'!AI14+'Local Appropriations-2Yr'!AI14+'Fed Contracts Grnts-2Yr'!AI14+'Other Contracts Grnts-2Yr'!AI14+'Investment Income-2Yr'!AI14+'All Other E&amp;G-2Yr'!AI14</f>
        <v>1430441.3260000001</v>
      </c>
      <c r="AJ14" s="90">
        <f>+'Tuition-2Yr'!AJ14+'State Appropriations-2Yr'!AJ14+'Local Appropriations-2Yr'!AJ14+'Fed Contracts Grnts-2Yr'!AJ14+'Other Contracts Grnts-2Yr'!AJ14+'Investment Income-2Yr'!AJ14+'All Other E&amp;G-2Yr'!AJ14</f>
        <v>0</v>
      </c>
      <c r="AK14" s="90">
        <f>+'Tuition-2Yr'!AK14+'State Appropriations-2Yr'!AK14+'Local Appropriations-2Yr'!AK14+'Fed Contracts Grnts-2Yr'!AK14+'Other Contracts Grnts-2Yr'!AK14+'Investment Income-2Yr'!AK14+'All Other E&amp;G-2Yr'!AK14</f>
        <v>1527228.1849999998</v>
      </c>
    </row>
    <row r="15" spans="1:37" ht="12.75" customHeight="1">
      <c r="A15" s="1" t="s">
        <v>29</v>
      </c>
      <c r="B15" s="90">
        <f>+'Tuition-2Yr'!B15+'State Appropriations-2Yr'!B15+'Local Appropriations-2Yr'!B15+'Fed Contracts Grnts-2Yr'!B15+'Other Contracts Grnts-2Yr'!B15+'Investment Income-2Yr'!B15+'All Other E&amp;G-2Yr'!B15</f>
        <v>129715</v>
      </c>
      <c r="C15" s="90">
        <f>+'Tuition-2Yr'!C15+'State Appropriations-2Yr'!C15+'Local Appropriations-2Yr'!C15+'Fed Contracts Grnts-2Yr'!C15+'Other Contracts Grnts-2Yr'!C15+'Investment Income-2Yr'!C15+'All Other E&amp;G-2Yr'!C15</f>
        <v>132970</v>
      </c>
      <c r="D15" s="90">
        <f>+'Tuition-2Yr'!D15+'State Appropriations-2Yr'!D15+'Local Appropriations-2Yr'!D15+'Fed Contracts Grnts-2Yr'!D15+'Other Contracts Grnts-2Yr'!D15+'Investment Income-2Yr'!D15+'All Other E&amp;G-2Yr'!D15</f>
        <v>148068</v>
      </c>
      <c r="E15" s="90">
        <f>+'Tuition-2Yr'!E15+'State Appropriations-2Yr'!E15+'Local Appropriations-2Yr'!E15+'Fed Contracts Grnts-2Yr'!E15+'Other Contracts Grnts-2Yr'!E15+'Investment Income-2Yr'!E15+'All Other E&amp;G-2Yr'!E15</f>
        <v>0</v>
      </c>
      <c r="F15" s="90">
        <f>+'Tuition-2Yr'!F15+'State Appropriations-2Yr'!F15+'Local Appropriations-2Yr'!F15+'Fed Contracts Grnts-2Yr'!F15+'Other Contracts Grnts-2Yr'!F15+'Investment Income-2Yr'!F15+'All Other E&amp;G-2Yr'!F15</f>
        <v>0</v>
      </c>
      <c r="G15" s="90">
        <f>+'Tuition-2Yr'!G15+'State Appropriations-2Yr'!G15+'Local Appropriations-2Yr'!G15+'Fed Contracts Grnts-2Yr'!G15+'Other Contracts Grnts-2Yr'!G15+'Investment Income-2Yr'!G15+'All Other E&amp;G-2Yr'!G15</f>
        <v>0</v>
      </c>
      <c r="H15" s="90">
        <f>+'Tuition-2Yr'!H15+'State Appropriations-2Yr'!H15+'Local Appropriations-2Yr'!H15+'Fed Contracts Grnts-2Yr'!H15+'Other Contracts Grnts-2Yr'!H15+'Investment Income-2Yr'!H15+'All Other E&amp;G-2Yr'!H15</f>
        <v>0</v>
      </c>
      <c r="I15" s="90">
        <f>+'Tuition-2Yr'!I15+'State Appropriations-2Yr'!I15+'Local Appropriations-2Yr'!I15+'Fed Contracts Grnts-2Yr'!I15+'Other Contracts Grnts-2Yr'!I15+'Investment Income-2Yr'!I15+'All Other E&amp;G-2Yr'!I15</f>
        <v>207902.73499999999</v>
      </c>
      <c r="J15" s="90">
        <f>+'Tuition-2Yr'!J15+'State Appropriations-2Yr'!J15+'Local Appropriations-2Yr'!J15+'Fed Contracts Grnts-2Yr'!J15+'Other Contracts Grnts-2Yr'!J15+'Investment Income-2Yr'!J15+'All Other E&amp;G-2Yr'!J15</f>
        <v>215226.16399999999</v>
      </c>
      <c r="K15" s="90">
        <f>+'Tuition-2Yr'!K15+'State Appropriations-2Yr'!K15+'Local Appropriations-2Yr'!K15+'Fed Contracts Grnts-2Yr'!K15+'Other Contracts Grnts-2Yr'!K15+'Investment Income-2Yr'!K15+'All Other E&amp;G-2Yr'!K15</f>
        <v>242325.337</v>
      </c>
      <c r="L15" s="90">
        <f>+'Tuition-2Yr'!L15+'State Appropriations-2Yr'!L15+'Local Appropriations-2Yr'!L15+'Fed Contracts Grnts-2Yr'!L15+'Other Contracts Grnts-2Yr'!L15+'Investment Income-2Yr'!L15+'All Other E&amp;G-2Yr'!L15</f>
        <v>259042.61199999996</v>
      </c>
      <c r="M15" s="90">
        <f>+'Tuition-2Yr'!M15+'State Appropriations-2Yr'!M15+'Local Appropriations-2Yr'!M15+'Fed Contracts Grnts-2Yr'!M15+'Other Contracts Grnts-2Yr'!M15+'Investment Income-2Yr'!M15+'All Other E&amp;G-2Yr'!M15</f>
        <v>302768.60900000005</v>
      </c>
      <c r="N15" s="90">
        <f>+'Tuition-2Yr'!N15+'State Appropriations-2Yr'!N15+'Local Appropriations-2Yr'!N15+'Fed Contracts Grnts-2Yr'!N15+'Other Contracts Grnts-2Yr'!N15+'Investment Income-2Yr'!N15+'All Other E&amp;G-2Yr'!N15</f>
        <v>330974.42800000001</v>
      </c>
      <c r="O15" s="90">
        <f>+'Tuition-2Yr'!O15+'State Appropriations-2Yr'!O15+'Local Appropriations-2Yr'!O15+'Fed Contracts Grnts-2Yr'!O15+'Other Contracts Grnts-2Yr'!O15+'Investment Income-2Yr'!O15+'All Other E&amp;G-2Yr'!O15</f>
        <v>340262.49899999995</v>
      </c>
      <c r="P15" s="90">
        <f>+'Tuition-2Yr'!P15+'State Appropriations-2Yr'!P15+'Local Appropriations-2Yr'!P15+'Fed Contracts Grnts-2Yr'!P15+'Other Contracts Grnts-2Yr'!P15+'Investment Income-2Yr'!P15+'All Other E&amp;G-2Yr'!P15</f>
        <v>0</v>
      </c>
      <c r="Q15" s="90">
        <f>+'Tuition-2Yr'!Q15+'State Appropriations-2Yr'!Q15+'Local Appropriations-2Yr'!Q15+'Fed Contracts Grnts-2Yr'!Q15+'Other Contracts Grnts-2Yr'!Q15+'Investment Income-2Yr'!Q15+'All Other E&amp;G-2Yr'!Q15</f>
        <v>0</v>
      </c>
      <c r="R15" s="90">
        <f>+'Tuition-2Yr'!R15+'State Appropriations-2Yr'!R15+'Local Appropriations-2Yr'!R15+'Fed Contracts Grnts-2Yr'!R15+'Other Contracts Grnts-2Yr'!R15+'Investment Income-2Yr'!R15+'All Other E&amp;G-2Yr'!R15</f>
        <v>421972.24400000001</v>
      </c>
      <c r="S15" s="90">
        <f>+'Tuition-2Yr'!S15+'State Appropriations-2Yr'!S15+'Local Appropriations-2Yr'!S15+'Fed Contracts Grnts-2Yr'!S15+'Other Contracts Grnts-2Yr'!S15+'Investment Income-2Yr'!S15+'All Other E&amp;G-2Yr'!S15</f>
        <v>424284.15899999999</v>
      </c>
      <c r="T15" s="90">
        <f>+'Tuition-2Yr'!T15+'State Appropriations-2Yr'!T15+'Local Appropriations-2Yr'!T15+'Fed Contracts Grnts-2Yr'!T15+'Other Contracts Grnts-2Yr'!T15+'Investment Income-2Yr'!T15+'All Other E&amp;G-2Yr'!T15</f>
        <v>458201.16200000001</v>
      </c>
      <c r="U15" s="90">
        <f>+'Tuition-2Yr'!U15+'State Appropriations-2Yr'!U15+'Local Appropriations-2Yr'!U15+'Fed Contracts Grnts-2Yr'!U15+'Other Contracts Grnts-2Yr'!U15+'Investment Income-2Yr'!U15+'All Other E&amp;G-2Yr'!U15</f>
        <v>472602.73000000004</v>
      </c>
      <c r="V15" s="90">
        <f>+'Tuition-2Yr'!V15+'State Appropriations-2Yr'!V15+'Local Appropriations-2Yr'!V15+'Fed Contracts Grnts-2Yr'!V15+'Other Contracts Grnts-2Yr'!V15+'Investment Income-2Yr'!V15+'All Other E&amp;G-2Yr'!V15</f>
        <v>484381.10000000003</v>
      </c>
      <c r="W15" s="90">
        <f>+'Tuition-2Yr'!W15+'State Appropriations-2Yr'!W15+'Local Appropriations-2Yr'!W15+'Fed Contracts Grnts-2Yr'!W15+'Other Contracts Grnts-2Yr'!W15+'Investment Income-2Yr'!W15+'All Other E&amp;G-2Yr'!W15</f>
        <v>548281.98</v>
      </c>
      <c r="X15" s="90">
        <f>+'Tuition-2Yr'!X15+'State Appropriations-2Yr'!X15+'Local Appropriations-2Yr'!X15+'Fed Contracts Grnts-2Yr'!X15+'Other Contracts Grnts-2Yr'!X15+'Investment Income-2Yr'!X15+'All Other E&amp;G-2Yr'!X15</f>
        <v>558239.08299999998</v>
      </c>
      <c r="Y15" s="90">
        <f>+'Tuition-2Yr'!Y15+'State Appropriations-2Yr'!Y15+'Local Appropriations-2Yr'!Y15+'Fed Contracts Grnts-2Yr'!Y15+'Other Contracts Grnts-2Yr'!Y15+'Investment Income-2Yr'!Y15+'All Other E&amp;G-2Yr'!Y15</f>
        <v>578054.50399999996</v>
      </c>
      <c r="Z15" s="90">
        <f>+'Tuition-2Yr'!Z15+'State Appropriations-2Yr'!Z15+'Local Appropriations-2Yr'!Z15+'Fed Contracts Grnts-2Yr'!Z15+'Other Contracts Grnts-2Yr'!Z15+'Investment Income-2Yr'!Z15+'All Other E&amp;G-2Yr'!Z15</f>
        <v>644505.5780000001</v>
      </c>
      <c r="AA15" s="90">
        <f>+'Tuition-2Yr'!AA15+'State Appropriations-2Yr'!AA15+'Local Appropriations-2Yr'!AA15+'Fed Contracts Grnts-2Yr'!AA15+'Other Contracts Grnts-2Yr'!AA15+'Investment Income-2Yr'!AA15+'All Other E&amp;G-2Yr'!AA15</f>
        <v>738437.13199999998</v>
      </c>
      <c r="AB15" s="90">
        <f>+'Tuition-2Yr'!AB15+'State Appropriations-2Yr'!AB15+'Local Appropriations-2Yr'!AB15+'Fed Contracts Grnts-2Yr'!AB15+'Other Contracts Grnts-2Yr'!AB15+'Investment Income-2Yr'!AB15+'All Other E&amp;G-2Yr'!AB15</f>
        <v>879112.13000000012</v>
      </c>
      <c r="AC15" s="90">
        <f>+'Tuition-2Yr'!AC15+'State Appropriations-2Yr'!AC15+'Local Appropriations-2Yr'!AC15+'Fed Contracts Grnts-2Yr'!AC15+'Other Contracts Grnts-2Yr'!AC15+'Investment Income-2Yr'!AC15+'All Other E&amp;G-2Yr'!AC15</f>
        <v>947084</v>
      </c>
      <c r="AD15" s="90">
        <f>+'Tuition-2Yr'!AD15+'State Appropriations-2Yr'!AD15+'Local Appropriations-2Yr'!AD15+'Fed Contracts Grnts-2Yr'!AD15+'Other Contracts Grnts-2Yr'!AD15+'Investment Income-2Yr'!AD15+'All Other E&amp;G-2Yr'!AD15</f>
        <v>859044.85600000003</v>
      </c>
      <c r="AE15" s="90">
        <f>+'Tuition-2Yr'!AE15+'State Appropriations-2Yr'!AE15+'Local Appropriations-2Yr'!AE15+'Fed Contracts Grnts-2Yr'!AE15+'Other Contracts Grnts-2Yr'!AE15+'Investment Income-2Yr'!AE15+'All Other E&amp;G-2Yr'!AE15</f>
        <v>814117.81700000004</v>
      </c>
      <c r="AF15" s="90">
        <f>+'Tuition-2Yr'!AF15+'State Appropriations-2Yr'!AF15+'Local Appropriations-2Yr'!AF15+'Fed Contracts Grnts-2Yr'!AF15+'Other Contracts Grnts-2Yr'!AF15+'Investment Income-2Yr'!AF15+'All Other E&amp;G-2Yr'!AF15</f>
        <v>822131.10800000012</v>
      </c>
      <c r="AG15" s="90">
        <f>+'Tuition-2Yr'!AG15+'State Appropriations-2Yr'!AG15+'Local Appropriations-2Yr'!AG15+'Fed Contracts Grnts-2Yr'!AG15+'Other Contracts Grnts-2Yr'!AG15+'Investment Income-2Yr'!AG15+'All Other E&amp;G-2Yr'!AG15</f>
        <v>831353.30300000019</v>
      </c>
      <c r="AH15" s="90">
        <f>+'Tuition-2Yr'!AH15+'State Appropriations-2Yr'!AH15+'Local Appropriations-2Yr'!AH15+'Fed Contracts Grnts-2Yr'!AH15+'Other Contracts Grnts-2Yr'!AH15+'Investment Income-2Yr'!AH15+'All Other E&amp;G-2Yr'!AH15</f>
        <v>838667.56299999985</v>
      </c>
      <c r="AI15" s="90">
        <f>+'Tuition-2Yr'!AI15+'State Appropriations-2Yr'!AI15+'Local Appropriations-2Yr'!AI15+'Fed Contracts Grnts-2Yr'!AI15+'Other Contracts Grnts-2Yr'!AI15+'Investment Income-2Yr'!AI15+'All Other E&amp;G-2Yr'!AI15</f>
        <v>834513.65700000001</v>
      </c>
      <c r="AJ15" s="90">
        <f>+'Tuition-2Yr'!AJ15+'State Appropriations-2Yr'!AJ15+'Local Appropriations-2Yr'!AJ15+'Fed Contracts Grnts-2Yr'!AJ15+'Other Contracts Grnts-2Yr'!AJ15+'Investment Income-2Yr'!AJ15+'All Other E&amp;G-2Yr'!AJ15</f>
        <v>0</v>
      </c>
      <c r="AK15" s="90">
        <f>+'Tuition-2Yr'!AK15+'State Appropriations-2Yr'!AK15+'Local Appropriations-2Yr'!AK15+'Fed Contracts Grnts-2Yr'!AK15+'Other Contracts Grnts-2Yr'!AK15+'Investment Income-2Yr'!AK15+'All Other E&amp;G-2Yr'!AK15</f>
        <v>999572.72899999982</v>
      </c>
    </row>
    <row r="16" spans="1:37" ht="12.75" customHeight="1">
      <c r="A16" s="1" t="s">
        <v>30</v>
      </c>
      <c r="B16" s="90">
        <f>+'Tuition-2Yr'!B16+'State Appropriations-2Yr'!B16+'Local Appropriations-2Yr'!B16+'Fed Contracts Grnts-2Yr'!B16+'Other Contracts Grnts-2Yr'!B16+'Investment Income-2Yr'!B16+'All Other E&amp;G-2Yr'!B16</f>
        <v>299113</v>
      </c>
      <c r="C16" s="90">
        <f>+'Tuition-2Yr'!C16+'State Appropriations-2Yr'!C16+'Local Appropriations-2Yr'!C16+'Fed Contracts Grnts-2Yr'!C16+'Other Contracts Grnts-2Yr'!C16+'Investment Income-2Yr'!C16+'All Other E&amp;G-2Yr'!C16</f>
        <v>330100</v>
      </c>
      <c r="D16" s="90">
        <f>+'Tuition-2Yr'!D16+'State Appropriations-2Yr'!D16+'Local Appropriations-2Yr'!D16+'Fed Contracts Grnts-2Yr'!D16+'Other Contracts Grnts-2Yr'!D16+'Investment Income-2Yr'!D16+'All Other E&amp;G-2Yr'!D16</f>
        <v>357737</v>
      </c>
      <c r="E16" s="90">
        <f>+'Tuition-2Yr'!E16+'State Appropriations-2Yr'!E16+'Local Appropriations-2Yr'!E16+'Fed Contracts Grnts-2Yr'!E16+'Other Contracts Grnts-2Yr'!E16+'Investment Income-2Yr'!E16+'All Other E&amp;G-2Yr'!E16</f>
        <v>0</v>
      </c>
      <c r="F16" s="90">
        <f>+'Tuition-2Yr'!F16+'State Appropriations-2Yr'!F16+'Local Appropriations-2Yr'!F16+'Fed Contracts Grnts-2Yr'!F16+'Other Contracts Grnts-2Yr'!F16+'Investment Income-2Yr'!F16+'All Other E&amp;G-2Yr'!F16</f>
        <v>0</v>
      </c>
      <c r="G16" s="90">
        <f>+'Tuition-2Yr'!G16+'State Appropriations-2Yr'!G16+'Local Appropriations-2Yr'!G16+'Fed Contracts Grnts-2Yr'!G16+'Other Contracts Grnts-2Yr'!G16+'Investment Income-2Yr'!G16+'All Other E&amp;G-2Yr'!G16</f>
        <v>0</v>
      </c>
      <c r="H16" s="90">
        <f>+'Tuition-2Yr'!H16+'State Appropriations-2Yr'!H16+'Local Appropriations-2Yr'!H16+'Fed Contracts Grnts-2Yr'!H16+'Other Contracts Grnts-2Yr'!H16+'Investment Income-2Yr'!H16+'All Other E&amp;G-2Yr'!H16</f>
        <v>0</v>
      </c>
      <c r="I16" s="90">
        <f>+'Tuition-2Yr'!I16+'State Appropriations-2Yr'!I16+'Local Appropriations-2Yr'!I16+'Fed Contracts Grnts-2Yr'!I16+'Other Contracts Grnts-2Yr'!I16+'Investment Income-2Yr'!I16+'All Other E&amp;G-2Yr'!I16</f>
        <v>528435.83299999998</v>
      </c>
      <c r="J16" s="90">
        <f>+'Tuition-2Yr'!J16+'State Appropriations-2Yr'!J16+'Local Appropriations-2Yr'!J16+'Fed Contracts Grnts-2Yr'!J16+'Other Contracts Grnts-2Yr'!J16+'Investment Income-2Yr'!J16+'All Other E&amp;G-2Yr'!J16</f>
        <v>555025.272</v>
      </c>
      <c r="K16" s="90">
        <f>+'Tuition-2Yr'!K16+'State Appropriations-2Yr'!K16+'Local Appropriations-2Yr'!K16+'Fed Contracts Grnts-2Yr'!K16+'Other Contracts Grnts-2Yr'!K16+'Investment Income-2Yr'!K16+'All Other E&amp;G-2Yr'!K16</f>
        <v>614810.87600000005</v>
      </c>
      <c r="L16" s="90">
        <f>+'Tuition-2Yr'!L16+'State Appropriations-2Yr'!L16+'Local Appropriations-2Yr'!L16+'Fed Contracts Grnts-2Yr'!L16+'Other Contracts Grnts-2Yr'!L16+'Investment Income-2Yr'!L16+'All Other E&amp;G-2Yr'!L16</f>
        <v>657699.87799999991</v>
      </c>
      <c r="M16" s="90">
        <f>+'Tuition-2Yr'!M16+'State Appropriations-2Yr'!M16+'Local Appropriations-2Yr'!M16+'Fed Contracts Grnts-2Yr'!M16+'Other Contracts Grnts-2Yr'!M16+'Investment Income-2Yr'!M16+'All Other E&amp;G-2Yr'!M16</f>
        <v>704262.15800000005</v>
      </c>
      <c r="N16" s="90">
        <f>+'Tuition-2Yr'!N16+'State Appropriations-2Yr'!N16+'Local Appropriations-2Yr'!N16+'Fed Contracts Grnts-2Yr'!N16+'Other Contracts Grnts-2Yr'!N16+'Investment Income-2Yr'!N16+'All Other E&amp;G-2Yr'!N16</f>
        <v>718090.76599999995</v>
      </c>
      <c r="O16" s="90">
        <f>+'Tuition-2Yr'!O16+'State Appropriations-2Yr'!O16+'Local Appropriations-2Yr'!O16+'Fed Contracts Grnts-2Yr'!O16+'Other Contracts Grnts-2Yr'!O16+'Investment Income-2Yr'!O16+'All Other E&amp;G-2Yr'!O16</f>
        <v>747801.57782000001</v>
      </c>
      <c r="P16" s="90">
        <f>+'Tuition-2Yr'!P16+'State Appropriations-2Yr'!P16+'Local Appropriations-2Yr'!P16+'Fed Contracts Grnts-2Yr'!P16+'Other Contracts Grnts-2Yr'!P16+'Investment Income-2Yr'!P16+'All Other E&amp;G-2Yr'!P16</f>
        <v>0</v>
      </c>
      <c r="Q16" s="90">
        <f>+'Tuition-2Yr'!Q16+'State Appropriations-2Yr'!Q16+'Local Appropriations-2Yr'!Q16+'Fed Contracts Grnts-2Yr'!Q16+'Other Contracts Grnts-2Yr'!Q16+'Investment Income-2Yr'!Q16+'All Other E&amp;G-2Yr'!Q16</f>
        <v>0</v>
      </c>
      <c r="R16" s="90">
        <f>+'Tuition-2Yr'!R16+'State Appropriations-2Yr'!R16+'Local Appropriations-2Yr'!R16+'Fed Contracts Grnts-2Yr'!R16+'Other Contracts Grnts-2Yr'!R16+'Investment Income-2Yr'!R16+'All Other E&amp;G-2Yr'!R16</f>
        <v>940204.11199999996</v>
      </c>
      <c r="S16" s="90">
        <f>+'Tuition-2Yr'!S16+'State Appropriations-2Yr'!S16+'Local Appropriations-2Yr'!S16+'Fed Contracts Grnts-2Yr'!S16+'Other Contracts Grnts-2Yr'!S16+'Investment Income-2Yr'!S16+'All Other E&amp;G-2Yr'!S16</f>
        <v>1018905.5929999999</v>
      </c>
      <c r="T16" s="90">
        <f>+'Tuition-2Yr'!T16+'State Appropriations-2Yr'!T16+'Local Appropriations-2Yr'!T16+'Fed Contracts Grnts-2Yr'!T16+'Other Contracts Grnts-2Yr'!T16+'Investment Income-2Yr'!T16+'All Other E&amp;G-2Yr'!T16</f>
        <v>1077652.6950000001</v>
      </c>
      <c r="U16" s="90">
        <f>+'Tuition-2Yr'!U16+'State Appropriations-2Yr'!U16+'Local Appropriations-2Yr'!U16+'Fed Contracts Grnts-2Yr'!U16+'Other Contracts Grnts-2Yr'!U16+'Investment Income-2Yr'!U16+'All Other E&amp;G-2Yr'!U16</f>
        <v>1156754.7789999999</v>
      </c>
      <c r="V16" s="90">
        <f>+'Tuition-2Yr'!V16+'State Appropriations-2Yr'!V16+'Local Appropriations-2Yr'!V16+'Fed Contracts Grnts-2Yr'!V16+'Other Contracts Grnts-2Yr'!V16+'Investment Income-2Yr'!V16+'All Other E&amp;G-2Yr'!V16</f>
        <v>1186269.0209999999</v>
      </c>
      <c r="W16" s="90">
        <f>+'Tuition-2Yr'!W16+'State Appropriations-2Yr'!W16+'Local Appropriations-2Yr'!W16+'Fed Contracts Grnts-2Yr'!W16+'Other Contracts Grnts-2Yr'!W16+'Investment Income-2Yr'!W16+'All Other E&amp;G-2Yr'!W16</f>
        <v>1351178.7830000001</v>
      </c>
      <c r="X16" s="90">
        <f>+'Tuition-2Yr'!X16+'State Appropriations-2Yr'!X16+'Local Appropriations-2Yr'!X16+'Fed Contracts Grnts-2Yr'!X16+'Other Contracts Grnts-2Yr'!X16+'Investment Income-2Yr'!X16+'All Other E&amp;G-2Yr'!X16</f>
        <v>1339797.3220000002</v>
      </c>
      <c r="Y16" s="90">
        <f>+'Tuition-2Yr'!Y16+'State Appropriations-2Yr'!Y16+'Local Appropriations-2Yr'!Y16+'Fed Contracts Grnts-2Yr'!Y16+'Other Contracts Grnts-2Yr'!Y16+'Investment Income-2Yr'!Y16+'All Other E&amp;G-2Yr'!Y16</f>
        <v>1457659.8930000002</v>
      </c>
      <c r="Z16" s="90">
        <f>+'Tuition-2Yr'!Z16+'State Appropriations-2Yr'!Z16+'Local Appropriations-2Yr'!Z16+'Fed Contracts Grnts-2Yr'!Z16+'Other Contracts Grnts-2Yr'!Z16+'Investment Income-2Yr'!Z16+'All Other E&amp;G-2Yr'!Z16</f>
        <v>1555350.4939999999</v>
      </c>
      <c r="AA16" s="90">
        <f>+'Tuition-2Yr'!AA16+'State Appropriations-2Yr'!AA16+'Local Appropriations-2Yr'!AA16+'Fed Contracts Grnts-2Yr'!AA16+'Other Contracts Grnts-2Yr'!AA16+'Investment Income-2Yr'!AA16+'All Other E&amp;G-2Yr'!AA16</f>
        <v>1739608.5219999999</v>
      </c>
      <c r="AB16" s="90">
        <f>+'Tuition-2Yr'!AB16+'State Appropriations-2Yr'!AB16+'Local Appropriations-2Yr'!AB16+'Fed Contracts Grnts-2Yr'!AB16+'Other Contracts Grnts-2Yr'!AB16+'Investment Income-2Yr'!AB16+'All Other E&amp;G-2Yr'!AB16</f>
        <v>2010296.2719999996</v>
      </c>
      <c r="AC16" s="90">
        <f>+'Tuition-2Yr'!AC16+'State Appropriations-2Yr'!AC16+'Local Appropriations-2Yr'!AC16+'Fed Contracts Grnts-2Yr'!AC16+'Other Contracts Grnts-2Yr'!AC16+'Investment Income-2Yr'!AC16+'All Other E&amp;G-2Yr'!AC16</f>
        <v>2189754</v>
      </c>
      <c r="AD16" s="90">
        <f>+'Tuition-2Yr'!AD16+'State Appropriations-2Yr'!AD16+'Local Appropriations-2Yr'!AD16+'Fed Contracts Grnts-2Yr'!AD16+'Other Contracts Grnts-2Yr'!AD16+'Investment Income-2Yr'!AD16+'All Other E&amp;G-2Yr'!AD16</f>
        <v>2178824.67</v>
      </c>
      <c r="AE16" s="90">
        <f>+'Tuition-2Yr'!AE16+'State Appropriations-2Yr'!AE16+'Local Appropriations-2Yr'!AE16+'Fed Contracts Grnts-2Yr'!AE16+'Other Contracts Grnts-2Yr'!AE16+'Investment Income-2Yr'!AE16+'All Other E&amp;G-2Yr'!AE16</f>
        <v>2244431.8689999999</v>
      </c>
      <c r="AF16" s="90">
        <f>+'Tuition-2Yr'!AF16+'State Appropriations-2Yr'!AF16+'Local Appropriations-2Yr'!AF16+'Fed Contracts Grnts-2Yr'!AF16+'Other Contracts Grnts-2Yr'!AF16+'Investment Income-2Yr'!AF16+'All Other E&amp;G-2Yr'!AF16</f>
        <v>2222105.1460000002</v>
      </c>
      <c r="AG16" s="90">
        <f>+'Tuition-2Yr'!AG16+'State Appropriations-2Yr'!AG16+'Local Appropriations-2Yr'!AG16+'Fed Contracts Grnts-2Yr'!AG16+'Other Contracts Grnts-2Yr'!AG16+'Investment Income-2Yr'!AG16+'All Other E&amp;G-2Yr'!AG16</f>
        <v>2252940.3400000003</v>
      </c>
      <c r="AH16" s="90">
        <f>+'Tuition-2Yr'!AH16+'State Appropriations-2Yr'!AH16+'Local Appropriations-2Yr'!AH16+'Fed Contracts Grnts-2Yr'!AH16+'Other Contracts Grnts-2Yr'!AH16+'Investment Income-2Yr'!AH16+'All Other E&amp;G-2Yr'!AH16</f>
        <v>2238961.3219999997</v>
      </c>
      <c r="AI16" s="90">
        <f>+'Tuition-2Yr'!AI16+'State Appropriations-2Yr'!AI16+'Local Appropriations-2Yr'!AI16+'Fed Contracts Grnts-2Yr'!AI16+'Other Contracts Grnts-2Yr'!AI16+'Investment Income-2Yr'!AI16+'All Other E&amp;G-2Yr'!AI16</f>
        <v>2185359.6690000002</v>
      </c>
      <c r="AJ16" s="90">
        <f>+'Tuition-2Yr'!AJ16+'State Appropriations-2Yr'!AJ16+'Local Appropriations-2Yr'!AJ16+'Fed Contracts Grnts-2Yr'!AJ16+'Other Contracts Grnts-2Yr'!AJ16+'Investment Income-2Yr'!AJ16+'All Other E&amp;G-2Yr'!AJ16</f>
        <v>0</v>
      </c>
      <c r="AK16" s="90">
        <f>+'Tuition-2Yr'!AK16+'State Appropriations-2Yr'!AK16+'Local Appropriations-2Yr'!AK16+'Fed Contracts Grnts-2Yr'!AK16+'Other Contracts Grnts-2Yr'!AK16+'Investment Income-2Yr'!AK16+'All Other E&amp;G-2Yr'!AK16</f>
        <v>2510151.4930000002</v>
      </c>
    </row>
    <row r="17" spans="1:37" ht="12.75" customHeight="1">
      <c r="A17" s="1" t="s">
        <v>31</v>
      </c>
      <c r="B17" s="90">
        <f>+'Tuition-2Yr'!B17+'State Appropriations-2Yr'!B17+'Local Appropriations-2Yr'!B17+'Fed Contracts Grnts-2Yr'!B17+'Other Contracts Grnts-2Yr'!B17+'Investment Income-2Yr'!B17+'All Other E&amp;G-2Yr'!B17</f>
        <v>93152</v>
      </c>
      <c r="C17" s="90">
        <f>+'Tuition-2Yr'!C17+'State Appropriations-2Yr'!C17+'Local Appropriations-2Yr'!C17+'Fed Contracts Grnts-2Yr'!C17+'Other Contracts Grnts-2Yr'!C17+'Investment Income-2Yr'!C17+'All Other E&amp;G-2Yr'!C17</f>
        <v>98309</v>
      </c>
      <c r="D17" s="90">
        <f>+'Tuition-2Yr'!D17+'State Appropriations-2Yr'!D17+'Local Appropriations-2Yr'!D17+'Fed Contracts Grnts-2Yr'!D17+'Other Contracts Grnts-2Yr'!D17+'Investment Income-2Yr'!D17+'All Other E&amp;G-2Yr'!D17</f>
        <v>114052</v>
      </c>
      <c r="E17" s="90">
        <f>+'Tuition-2Yr'!E17+'State Appropriations-2Yr'!E17+'Local Appropriations-2Yr'!E17+'Fed Contracts Grnts-2Yr'!E17+'Other Contracts Grnts-2Yr'!E17+'Investment Income-2Yr'!E17+'All Other E&amp;G-2Yr'!E17</f>
        <v>0</v>
      </c>
      <c r="F17" s="90">
        <f>+'Tuition-2Yr'!F17+'State Appropriations-2Yr'!F17+'Local Appropriations-2Yr'!F17+'Fed Contracts Grnts-2Yr'!F17+'Other Contracts Grnts-2Yr'!F17+'Investment Income-2Yr'!F17+'All Other E&amp;G-2Yr'!F17</f>
        <v>0</v>
      </c>
      <c r="G17" s="90">
        <f>+'Tuition-2Yr'!G17+'State Appropriations-2Yr'!G17+'Local Appropriations-2Yr'!G17+'Fed Contracts Grnts-2Yr'!G17+'Other Contracts Grnts-2Yr'!G17+'Investment Income-2Yr'!G17+'All Other E&amp;G-2Yr'!G17</f>
        <v>0</v>
      </c>
      <c r="H17" s="90">
        <f>+'Tuition-2Yr'!H17+'State Appropriations-2Yr'!H17+'Local Appropriations-2Yr'!H17+'Fed Contracts Grnts-2Yr'!H17+'Other Contracts Grnts-2Yr'!H17+'Investment Income-2Yr'!H17+'All Other E&amp;G-2Yr'!H17</f>
        <v>0</v>
      </c>
      <c r="I17" s="90">
        <f>+'Tuition-2Yr'!I17+'State Appropriations-2Yr'!I17+'Local Appropriations-2Yr'!I17+'Fed Contracts Grnts-2Yr'!I17+'Other Contracts Grnts-2Yr'!I17+'Investment Income-2Yr'!I17+'All Other E&amp;G-2Yr'!I17</f>
        <v>170799.89499999999</v>
      </c>
      <c r="J17" s="90">
        <f>+'Tuition-2Yr'!J17+'State Appropriations-2Yr'!J17+'Local Appropriations-2Yr'!J17+'Fed Contracts Grnts-2Yr'!J17+'Other Contracts Grnts-2Yr'!J17+'Investment Income-2Yr'!J17+'All Other E&amp;G-2Yr'!J17</f>
        <v>196423.08599999998</v>
      </c>
      <c r="K17" s="90">
        <f>+'Tuition-2Yr'!K17+'State Appropriations-2Yr'!K17+'Local Appropriations-2Yr'!K17+'Fed Contracts Grnts-2Yr'!K17+'Other Contracts Grnts-2Yr'!K17+'Investment Income-2Yr'!K17+'All Other E&amp;G-2Yr'!K17</f>
        <v>197250.88</v>
      </c>
      <c r="L17" s="90">
        <f>+'Tuition-2Yr'!L17+'State Appropriations-2Yr'!L17+'Local Appropriations-2Yr'!L17+'Fed Contracts Grnts-2Yr'!L17+'Other Contracts Grnts-2Yr'!L17+'Investment Income-2Yr'!L17+'All Other E&amp;G-2Yr'!L17</f>
        <v>202624.39300000001</v>
      </c>
      <c r="M17" s="90">
        <f>+'Tuition-2Yr'!M17+'State Appropriations-2Yr'!M17+'Local Appropriations-2Yr'!M17+'Fed Contracts Grnts-2Yr'!M17+'Other Contracts Grnts-2Yr'!M17+'Investment Income-2Yr'!M17+'All Other E&amp;G-2Yr'!M17</f>
        <v>205017.86500000002</v>
      </c>
      <c r="N17" s="90">
        <f>+'Tuition-2Yr'!N17+'State Appropriations-2Yr'!N17+'Local Appropriations-2Yr'!N17+'Fed Contracts Grnts-2Yr'!N17+'Other Contracts Grnts-2Yr'!N17+'Investment Income-2Yr'!N17+'All Other E&amp;G-2Yr'!N17</f>
        <v>215266.758</v>
      </c>
      <c r="O17" s="90">
        <f>+'Tuition-2Yr'!O17+'State Appropriations-2Yr'!O17+'Local Appropriations-2Yr'!O17+'Fed Contracts Grnts-2Yr'!O17+'Other Contracts Grnts-2Yr'!O17+'Investment Income-2Yr'!O17+'All Other E&amp;G-2Yr'!O17</f>
        <v>234679.99163999999</v>
      </c>
      <c r="P17" s="90">
        <f>+'Tuition-2Yr'!P17+'State Appropriations-2Yr'!P17+'Local Appropriations-2Yr'!P17+'Fed Contracts Grnts-2Yr'!P17+'Other Contracts Grnts-2Yr'!P17+'Investment Income-2Yr'!P17+'All Other E&amp;G-2Yr'!P17</f>
        <v>0</v>
      </c>
      <c r="Q17" s="90">
        <f>+'Tuition-2Yr'!Q17+'State Appropriations-2Yr'!Q17+'Local Appropriations-2Yr'!Q17+'Fed Contracts Grnts-2Yr'!Q17+'Other Contracts Grnts-2Yr'!Q17+'Investment Income-2Yr'!Q17+'All Other E&amp;G-2Yr'!Q17</f>
        <v>0</v>
      </c>
      <c r="R17" s="90">
        <f>+'Tuition-2Yr'!R17+'State Appropriations-2Yr'!R17+'Local Appropriations-2Yr'!R17+'Fed Contracts Grnts-2Yr'!R17+'Other Contracts Grnts-2Yr'!R17+'Investment Income-2Yr'!R17+'All Other E&amp;G-2Yr'!R17</f>
        <v>264651.54699999996</v>
      </c>
      <c r="S17" s="90">
        <f>+'Tuition-2Yr'!S17+'State Appropriations-2Yr'!S17+'Local Appropriations-2Yr'!S17+'Fed Contracts Grnts-2Yr'!S17+'Other Contracts Grnts-2Yr'!S17+'Investment Income-2Yr'!S17+'All Other E&amp;G-2Yr'!S17</f>
        <v>404381.69200000004</v>
      </c>
      <c r="T17" s="90">
        <f>+'Tuition-2Yr'!T17+'State Appropriations-2Yr'!T17+'Local Appropriations-2Yr'!T17+'Fed Contracts Grnts-2Yr'!T17+'Other Contracts Grnts-2Yr'!T17+'Investment Income-2Yr'!T17+'All Other E&amp;G-2Yr'!T17</f>
        <v>348080.78599999996</v>
      </c>
      <c r="U17" s="90">
        <f>+'Tuition-2Yr'!U17+'State Appropriations-2Yr'!U17+'Local Appropriations-2Yr'!U17+'Fed Contracts Grnts-2Yr'!U17+'Other Contracts Grnts-2Yr'!U17+'Investment Income-2Yr'!U17+'All Other E&amp;G-2Yr'!U17</f>
        <v>317127.72500000003</v>
      </c>
      <c r="V17" s="90">
        <f>+'Tuition-2Yr'!V17+'State Appropriations-2Yr'!V17+'Local Appropriations-2Yr'!V17+'Fed Contracts Grnts-2Yr'!V17+'Other Contracts Grnts-2Yr'!V17+'Investment Income-2Yr'!V17+'All Other E&amp;G-2Yr'!V17</f>
        <v>310274.83400000003</v>
      </c>
      <c r="W17" s="90">
        <f>+'Tuition-2Yr'!W17+'State Appropriations-2Yr'!W17+'Local Appropriations-2Yr'!W17+'Fed Contracts Grnts-2Yr'!W17+'Other Contracts Grnts-2Yr'!W17+'Investment Income-2Yr'!W17+'All Other E&amp;G-2Yr'!W17</f>
        <v>359497.29200000002</v>
      </c>
      <c r="X17" s="90">
        <f>+'Tuition-2Yr'!X17+'State Appropriations-2Yr'!X17+'Local Appropriations-2Yr'!X17+'Fed Contracts Grnts-2Yr'!X17+'Other Contracts Grnts-2Yr'!X17+'Investment Income-2Yr'!X17+'All Other E&amp;G-2Yr'!X17</f>
        <v>344754.09300000005</v>
      </c>
      <c r="Y17" s="90">
        <f>+'Tuition-2Yr'!Y17+'State Appropriations-2Yr'!Y17+'Local Appropriations-2Yr'!Y17+'Fed Contracts Grnts-2Yr'!Y17+'Other Contracts Grnts-2Yr'!Y17+'Investment Income-2Yr'!Y17+'All Other E&amp;G-2Yr'!Y17</f>
        <v>353779.61699999991</v>
      </c>
      <c r="Z17" s="90">
        <f>+'Tuition-2Yr'!Z17+'State Appropriations-2Yr'!Z17+'Local Appropriations-2Yr'!Z17+'Fed Contracts Grnts-2Yr'!Z17+'Other Contracts Grnts-2Yr'!Z17+'Investment Income-2Yr'!Z17+'All Other E&amp;G-2Yr'!Z17</f>
        <v>413225.67499999999</v>
      </c>
      <c r="AA17" s="90">
        <f>+'Tuition-2Yr'!AA17+'State Appropriations-2Yr'!AA17+'Local Appropriations-2Yr'!AA17+'Fed Contracts Grnts-2Yr'!AA17+'Other Contracts Grnts-2Yr'!AA17+'Investment Income-2Yr'!AA17+'All Other E&amp;G-2Yr'!AA17</f>
        <v>508535.717</v>
      </c>
      <c r="AB17" s="90">
        <f>+'Tuition-2Yr'!AB17+'State Appropriations-2Yr'!AB17+'Local Appropriations-2Yr'!AB17+'Fed Contracts Grnts-2Yr'!AB17+'Other Contracts Grnts-2Yr'!AB17+'Investment Income-2Yr'!AB17+'All Other E&amp;G-2Yr'!AB17</f>
        <v>576235.85200000007</v>
      </c>
      <c r="AC17" s="90">
        <f>+'Tuition-2Yr'!AC17+'State Appropriations-2Yr'!AC17+'Local Appropriations-2Yr'!AC17+'Fed Contracts Grnts-2Yr'!AC17+'Other Contracts Grnts-2Yr'!AC17+'Investment Income-2Yr'!AC17+'All Other E&amp;G-2Yr'!AC17</f>
        <v>621496</v>
      </c>
      <c r="AD17" s="90">
        <f>+'Tuition-2Yr'!AD17+'State Appropriations-2Yr'!AD17+'Local Appropriations-2Yr'!AD17+'Fed Contracts Grnts-2Yr'!AD17+'Other Contracts Grnts-2Yr'!AD17+'Investment Income-2Yr'!AD17+'All Other E&amp;G-2Yr'!AD17</f>
        <v>627020.24899999995</v>
      </c>
      <c r="AE17" s="90">
        <f>+'Tuition-2Yr'!AE17+'State Appropriations-2Yr'!AE17+'Local Appropriations-2Yr'!AE17+'Fed Contracts Grnts-2Yr'!AE17+'Other Contracts Grnts-2Yr'!AE17+'Investment Income-2Yr'!AE17+'All Other E&amp;G-2Yr'!AE17</f>
        <v>615843.821</v>
      </c>
      <c r="AF17" s="90">
        <f>+'Tuition-2Yr'!AF17+'State Appropriations-2Yr'!AF17+'Local Appropriations-2Yr'!AF17+'Fed Contracts Grnts-2Yr'!AF17+'Other Contracts Grnts-2Yr'!AF17+'Investment Income-2Yr'!AF17+'All Other E&amp;G-2Yr'!AF17</f>
        <v>602345.5149999999</v>
      </c>
      <c r="AG17" s="90">
        <f>+'Tuition-2Yr'!AG17+'State Appropriations-2Yr'!AG17+'Local Appropriations-2Yr'!AG17+'Fed Contracts Grnts-2Yr'!AG17+'Other Contracts Grnts-2Yr'!AG17+'Investment Income-2Yr'!AG17+'All Other E&amp;G-2Yr'!AG17</f>
        <v>605904.20900000003</v>
      </c>
      <c r="AH17" s="90">
        <f>+'Tuition-2Yr'!AH17+'State Appropriations-2Yr'!AH17+'Local Appropriations-2Yr'!AH17+'Fed Contracts Grnts-2Yr'!AH17+'Other Contracts Grnts-2Yr'!AH17+'Investment Income-2Yr'!AH17+'All Other E&amp;G-2Yr'!AH17</f>
        <v>621905.73</v>
      </c>
      <c r="AI17" s="90">
        <f>+'Tuition-2Yr'!AI17+'State Appropriations-2Yr'!AI17+'Local Appropriations-2Yr'!AI17+'Fed Contracts Grnts-2Yr'!AI17+'Other Contracts Grnts-2Yr'!AI17+'Investment Income-2Yr'!AI17+'All Other E&amp;G-2Yr'!AI17</f>
        <v>607336.38499999989</v>
      </c>
      <c r="AJ17" s="90">
        <f>+'Tuition-2Yr'!AJ17+'State Appropriations-2Yr'!AJ17+'Local Appropriations-2Yr'!AJ17+'Fed Contracts Grnts-2Yr'!AJ17+'Other Contracts Grnts-2Yr'!AJ17+'Investment Income-2Yr'!AJ17+'All Other E&amp;G-2Yr'!AJ17</f>
        <v>0</v>
      </c>
      <c r="AK17" s="90">
        <f>+'Tuition-2Yr'!AK17+'State Appropriations-2Yr'!AK17+'Local Appropriations-2Yr'!AK17+'Fed Contracts Grnts-2Yr'!AK17+'Other Contracts Grnts-2Yr'!AK17+'Investment Income-2Yr'!AK17+'All Other E&amp;G-2Yr'!AK17</f>
        <v>699597.24</v>
      </c>
    </row>
    <row r="18" spans="1:37" ht="12.75" customHeight="1">
      <c r="A18" s="1" t="s">
        <v>32</v>
      </c>
      <c r="B18" s="90">
        <f>+'Tuition-2Yr'!B18+'State Appropriations-2Yr'!B18+'Local Appropriations-2Yr'!B18+'Fed Contracts Grnts-2Yr'!B18+'Other Contracts Grnts-2Yr'!B18+'Investment Income-2Yr'!B18+'All Other E&amp;G-2Yr'!B18</f>
        <v>121248</v>
      </c>
      <c r="C18" s="90">
        <f>+'Tuition-2Yr'!C18+'State Appropriations-2Yr'!C18+'Local Appropriations-2Yr'!C18+'Fed Contracts Grnts-2Yr'!C18+'Other Contracts Grnts-2Yr'!C18+'Investment Income-2Yr'!C18+'All Other E&amp;G-2Yr'!C18</f>
        <v>130470</v>
      </c>
      <c r="D18" s="90">
        <f>+'Tuition-2Yr'!D18+'State Appropriations-2Yr'!D18+'Local Appropriations-2Yr'!D18+'Fed Contracts Grnts-2Yr'!D18+'Other Contracts Grnts-2Yr'!D18+'Investment Income-2Yr'!D18+'All Other E&amp;G-2Yr'!D18</f>
        <v>144484</v>
      </c>
      <c r="E18" s="90">
        <f>+'Tuition-2Yr'!E18+'State Appropriations-2Yr'!E18+'Local Appropriations-2Yr'!E18+'Fed Contracts Grnts-2Yr'!E18+'Other Contracts Grnts-2Yr'!E18+'Investment Income-2Yr'!E18+'All Other E&amp;G-2Yr'!E18</f>
        <v>0</v>
      </c>
      <c r="F18" s="90">
        <f>+'Tuition-2Yr'!F18+'State Appropriations-2Yr'!F18+'Local Appropriations-2Yr'!F18+'Fed Contracts Grnts-2Yr'!F18+'Other Contracts Grnts-2Yr'!F18+'Investment Income-2Yr'!F18+'All Other E&amp;G-2Yr'!F18</f>
        <v>0</v>
      </c>
      <c r="G18" s="90">
        <f>+'Tuition-2Yr'!G18+'State Appropriations-2Yr'!G18+'Local Appropriations-2Yr'!G18+'Fed Contracts Grnts-2Yr'!G18+'Other Contracts Grnts-2Yr'!G18+'Investment Income-2Yr'!G18+'All Other E&amp;G-2Yr'!G18</f>
        <v>0</v>
      </c>
      <c r="H18" s="90">
        <f>+'Tuition-2Yr'!H18+'State Appropriations-2Yr'!H18+'Local Appropriations-2Yr'!H18+'Fed Contracts Grnts-2Yr'!H18+'Other Contracts Grnts-2Yr'!H18+'Investment Income-2Yr'!H18+'All Other E&amp;G-2Yr'!H18</f>
        <v>0</v>
      </c>
      <c r="I18" s="90">
        <f>+'Tuition-2Yr'!I18+'State Appropriations-2Yr'!I18+'Local Appropriations-2Yr'!I18+'Fed Contracts Grnts-2Yr'!I18+'Other Contracts Grnts-2Yr'!I18+'Investment Income-2Yr'!I18+'All Other E&amp;G-2Yr'!I18</f>
        <v>213930.90100000001</v>
      </c>
      <c r="J18" s="90">
        <f>+'Tuition-2Yr'!J18+'State Appropriations-2Yr'!J18+'Local Appropriations-2Yr'!J18+'Fed Contracts Grnts-2Yr'!J18+'Other Contracts Grnts-2Yr'!J18+'Investment Income-2Yr'!J18+'All Other E&amp;G-2Yr'!J18</f>
        <v>232912.23699999996</v>
      </c>
      <c r="K18" s="90">
        <f>+'Tuition-2Yr'!K18+'State Appropriations-2Yr'!K18+'Local Appropriations-2Yr'!K18+'Fed Contracts Grnts-2Yr'!K18+'Other Contracts Grnts-2Yr'!K18+'Investment Income-2Yr'!K18+'All Other E&amp;G-2Yr'!K18</f>
        <v>248923.78899999999</v>
      </c>
      <c r="L18" s="90">
        <f>+'Tuition-2Yr'!L18+'State Appropriations-2Yr'!L18+'Local Appropriations-2Yr'!L18+'Fed Contracts Grnts-2Yr'!L18+'Other Contracts Grnts-2Yr'!L18+'Investment Income-2Yr'!L18+'All Other E&amp;G-2Yr'!L18</f>
        <v>262259.89500000002</v>
      </c>
      <c r="M18" s="90">
        <f>+'Tuition-2Yr'!M18+'State Appropriations-2Yr'!M18+'Local Appropriations-2Yr'!M18+'Fed Contracts Grnts-2Yr'!M18+'Other Contracts Grnts-2Yr'!M18+'Investment Income-2Yr'!M18+'All Other E&amp;G-2Yr'!M18</f>
        <v>273211.88900000002</v>
      </c>
      <c r="N18" s="90">
        <f>+'Tuition-2Yr'!N18+'State Appropriations-2Yr'!N18+'Local Appropriations-2Yr'!N18+'Fed Contracts Grnts-2Yr'!N18+'Other Contracts Grnts-2Yr'!N18+'Investment Income-2Yr'!N18+'All Other E&amp;G-2Yr'!N18</f>
        <v>288449.11600000004</v>
      </c>
      <c r="O18" s="90">
        <f>+'Tuition-2Yr'!O18+'State Appropriations-2Yr'!O18+'Local Appropriations-2Yr'!O18+'Fed Contracts Grnts-2Yr'!O18+'Other Contracts Grnts-2Yr'!O18+'Investment Income-2Yr'!O18+'All Other E&amp;G-2Yr'!O18</f>
        <v>315035.886</v>
      </c>
      <c r="P18" s="90">
        <f>+'Tuition-2Yr'!P18+'State Appropriations-2Yr'!P18+'Local Appropriations-2Yr'!P18+'Fed Contracts Grnts-2Yr'!P18+'Other Contracts Grnts-2Yr'!P18+'Investment Income-2Yr'!P18+'All Other E&amp;G-2Yr'!P18</f>
        <v>0</v>
      </c>
      <c r="Q18" s="90">
        <f>+'Tuition-2Yr'!Q18+'State Appropriations-2Yr'!Q18+'Local Appropriations-2Yr'!Q18+'Fed Contracts Grnts-2Yr'!Q18+'Other Contracts Grnts-2Yr'!Q18+'Investment Income-2Yr'!Q18+'All Other E&amp;G-2Yr'!Q18</f>
        <v>0</v>
      </c>
      <c r="R18" s="90">
        <f>+'Tuition-2Yr'!R18+'State Appropriations-2Yr'!R18+'Local Appropriations-2Yr'!R18+'Fed Contracts Grnts-2Yr'!R18+'Other Contracts Grnts-2Yr'!R18+'Investment Income-2Yr'!R18+'All Other E&amp;G-2Yr'!R18</f>
        <v>400711.75799999997</v>
      </c>
      <c r="S18" s="90">
        <f>+'Tuition-2Yr'!S18+'State Appropriations-2Yr'!S18+'Local Appropriations-2Yr'!S18+'Fed Contracts Grnts-2Yr'!S18+'Other Contracts Grnts-2Yr'!S18+'Investment Income-2Yr'!S18+'All Other E&amp;G-2Yr'!S18</f>
        <v>428235.96700000006</v>
      </c>
      <c r="T18" s="90">
        <f>+'Tuition-2Yr'!T18+'State Appropriations-2Yr'!T18+'Local Appropriations-2Yr'!T18+'Fed Contracts Grnts-2Yr'!T18+'Other Contracts Grnts-2Yr'!T18+'Investment Income-2Yr'!T18+'All Other E&amp;G-2Yr'!T18</f>
        <v>489343.11199999991</v>
      </c>
      <c r="U18" s="90">
        <f>+'Tuition-2Yr'!U18+'State Appropriations-2Yr'!U18+'Local Appropriations-2Yr'!U18+'Fed Contracts Grnts-2Yr'!U18+'Other Contracts Grnts-2Yr'!U18+'Investment Income-2Yr'!U18+'All Other E&amp;G-2Yr'!U18</f>
        <v>509474.46900000004</v>
      </c>
      <c r="V18" s="90">
        <f>+'Tuition-2Yr'!V18+'State Appropriations-2Yr'!V18+'Local Appropriations-2Yr'!V18+'Fed Contracts Grnts-2Yr'!V18+'Other Contracts Grnts-2Yr'!V18+'Investment Income-2Yr'!V18+'All Other E&amp;G-2Yr'!V18</f>
        <v>504815.09</v>
      </c>
      <c r="W18" s="90">
        <f>+'Tuition-2Yr'!W18+'State Appropriations-2Yr'!W18+'Local Appropriations-2Yr'!W18+'Fed Contracts Grnts-2Yr'!W18+'Other Contracts Grnts-2Yr'!W18+'Investment Income-2Yr'!W18+'All Other E&amp;G-2Yr'!W18</f>
        <v>627293.99</v>
      </c>
      <c r="X18" s="90">
        <f>+'Tuition-2Yr'!X18+'State Appropriations-2Yr'!X18+'Local Appropriations-2Yr'!X18+'Fed Contracts Grnts-2Yr'!X18+'Other Contracts Grnts-2Yr'!X18+'Investment Income-2Yr'!X18+'All Other E&amp;G-2Yr'!X18</f>
        <v>555636.83700000006</v>
      </c>
      <c r="Y18" s="90">
        <f>+'Tuition-2Yr'!Y18+'State Appropriations-2Yr'!Y18+'Local Appropriations-2Yr'!Y18+'Fed Contracts Grnts-2Yr'!Y18+'Other Contracts Grnts-2Yr'!Y18+'Investment Income-2Yr'!Y18+'All Other E&amp;G-2Yr'!Y18</f>
        <v>614545.80699999991</v>
      </c>
      <c r="Z18" s="90">
        <f>+'Tuition-2Yr'!Z18+'State Appropriations-2Yr'!Z18+'Local Appropriations-2Yr'!Z18+'Fed Contracts Grnts-2Yr'!Z18+'Other Contracts Grnts-2Yr'!Z18+'Investment Income-2Yr'!Z18+'All Other E&amp;G-2Yr'!Z18</f>
        <v>676874.44300000009</v>
      </c>
      <c r="AA18" s="90">
        <f>+'Tuition-2Yr'!AA18+'State Appropriations-2Yr'!AA18+'Local Appropriations-2Yr'!AA18+'Fed Contracts Grnts-2Yr'!AA18+'Other Contracts Grnts-2Yr'!AA18+'Investment Income-2Yr'!AA18+'All Other E&amp;G-2Yr'!AA18</f>
        <v>801844.63599999994</v>
      </c>
      <c r="AB18" s="90">
        <f>+'Tuition-2Yr'!AB18+'State Appropriations-2Yr'!AB18+'Local Appropriations-2Yr'!AB18+'Fed Contracts Grnts-2Yr'!AB18+'Other Contracts Grnts-2Yr'!AB18+'Investment Income-2Yr'!AB18+'All Other E&amp;G-2Yr'!AB18</f>
        <v>949116.755</v>
      </c>
      <c r="AC18" s="90">
        <f>+'Tuition-2Yr'!AC18+'State Appropriations-2Yr'!AC18+'Local Appropriations-2Yr'!AC18+'Fed Contracts Grnts-2Yr'!AC18+'Other Contracts Grnts-2Yr'!AC18+'Investment Income-2Yr'!AC18+'All Other E&amp;G-2Yr'!AC18</f>
        <v>993790</v>
      </c>
      <c r="AD18" s="90">
        <f>+'Tuition-2Yr'!AD18+'State Appropriations-2Yr'!AD18+'Local Appropriations-2Yr'!AD18+'Fed Contracts Grnts-2Yr'!AD18+'Other Contracts Grnts-2Yr'!AD18+'Investment Income-2Yr'!AD18+'All Other E&amp;G-2Yr'!AD18</f>
        <v>977485.64099999995</v>
      </c>
      <c r="AE18" s="90">
        <f>+'Tuition-2Yr'!AE18+'State Appropriations-2Yr'!AE18+'Local Appropriations-2Yr'!AE18+'Fed Contracts Grnts-2Yr'!AE18+'Other Contracts Grnts-2Yr'!AE18+'Investment Income-2Yr'!AE18+'All Other E&amp;G-2Yr'!AE18</f>
        <v>987976.25199999998</v>
      </c>
      <c r="AF18" s="90">
        <f>+'Tuition-2Yr'!AF18+'State Appropriations-2Yr'!AF18+'Local Appropriations-2Yr'!AF18+'Fed Contracts Grnts-2Yr'!AF18+'Other Contracts Grnts-2Yr'!AF18+'Investment Income-2Yr'!AF18+'All Other E&amp;G-2Yr'!AF18</f>
        <v>986713.83800000011</v>
      </c>
      <c r="AG18" s="90">
        <f>+'Tuition-2Yr'!AG18+'State Appropriations-2Yr'!AG18+'Local Appropriations-2Yr'!AG18+'Fed Contracts Grnts-2Yr'!AG18+'Other Contracts Grnts-2Yr'!AG18+'Investment Income-2Yr'!AG18+'All Other E&amp;G-2Yr'!AG18</f>
        <v>965012.30800000008</v>
      </c>
      <c r="AH18" s="90">
        <f>+'Tuition-2Yr'!AH18+'State Appropriations-2Yr'!AH18+'Local Appropriations-2Yr'!AH18+'Fed Contracts Grnts-2Yr'!AH18+'Other Contracts Grnts-2Yr'!AH18+'Investment Income-2Yr'!AH18+'All Other E&amp;G-2Yr'!AH18</f>
        <v>948082.93500000017</v>
      </c>
      <c r="AI18" s="90">
        <f>+'Tuition-2Yr'!AI18+'State Appropriations-2Yr'!AI18+'Local Appropriations-2Yr'!AI18+'Fed Contracts Grnts-2Yr'!AI18+'Other Contracts Grnts-2Yr'!AI18+'Investment Income-2Yr'!AI18+'All Other E&amp;G-2Yr'!AI18</f>
        <v>945740.89</v>
      </c>
      <c r="AJ18" s="90">
        <f>+'Tuition-2Yr'!AJ18+'State Appropriations-2Yr'!AJ18+'Local Appropriations-2Yr'!AJ18+'Fed Contracts Grnts-2Yr'!AJ18+'Other Contracts Grnts-2Yr'!AJ18+'Investment Income-2Yr'!AJ18+'All Other E&amp;G-2Yr'!AJ18</f>
        <v>0</v>
      </c>
      <c r="AK18" s="90">
        <f>+'Tuition-2Yr'!AK18+'State Appropriations-2Yr'!AK18+'Local Appropriations-2Yr'!AK18+'Fed Contracts Grnts-2Yr'!AK18+'Other Contracts Grnts-2Yr'!AK18+'Investment Income-2Yr'!AK18+'All Other E&amp;G-2Yr'!AK18</f>
        <v>1073294.5549999999</v>
      </c>
    </row>
    <row r="19" spans="1:37" ht="12.75" customHeight="1">
      <c r="A19" s="1" t="s">
        <v>33</v>
      </c>
      <c r="B19" s="90">
        <f>+'Tuition-2Yr'!B19+'State Appropriations-2Yr'!B19+'Local Appropriations-2Yr'!B19+'Fed Contracts Grnts-2Yr'!B19+'Other Contracts Grnts-2Yr'!B19+'Investment Income-2Yr'!B19+'All Other E&amp;G-2Yr'!B19</f>
        <v>117385</v>
      </c>
      <c r="C19" s="90">
        <f>+'Tuition-2Yr'!C19+'State Appropriations-2Yr'!C19+'Local Appropriations-2Yr'!C19+'Fed Contracts Grnts-2Yr'!C19+'Other Contracts Grnts-2Yr'!C19+'Investment Income-2Yr'!C19+'All Other E&amp;G-2Yr'!C19</f>
        <v>143019</v>
      </c>
      <c r="D19" s="90">
        <f>+'Tuition-2Yr'!D19+'State Appropriations-2Yr'!D19+'Local Appropriations-2Yr'!D19+'Fed Contracts Grnts-2Yr'!D19+'Other Contracts Grnts-2Yr'!D19+'Investment Income-2Yr'!D19+'All Other E&amp;G-2Yr'!D19</f>
        <v>158311</v>
      </c>
      <c r="E19" s="90">
        <f>+'Tuition-2Yr'!E19+'State Appropriations-2Yr'!E19+'Local Appropriations-2Yr'!E19+'Fed Contracts Grnts-2Yr'!E19+'Other Contracts Grnts-2Yr'!E19+'Investment Income-2Yr'!E19+'All Other E&amp;G-2Yr'!E19</f>
        <v>0</v>
      </c>
      <c r="F19" s="90">
        <f>+'Tuition-2Yr'!F19+'State Appropriations-2Yr'!F19+'Local Appropriations-2Yr'!F19+'Fed Contracts Grnts-2Yr'!F19+'Other Contracts Grnts-2Yr'!F19+'Investment Income-2Yr'!F19+'All Other E&amp;G-2Yr'!F19</f>
        <v>0</v>
      </c>
      <c r="G19" s="90">
        <f>+'Tuition-2Yr'!G19+'State Appropriations-2Yr'!G19+'Local Appropriations-2Yr'!G19+'Fed Contracts Grnts-2Yr'!G19+'Other Contracts Grnts-2Yr'!G19+'Investment Income-2Yr'!G19+'All Other E&amp;G-2Yr'!G19</f>
        <v>0</v>
      </c>
      <c r="H19" s="90">
        <f>+'Tuition-2Yr'!H19+'State Appropriations-2Yr'!H19+'Local Appropriations-2Yr'!H19+'Fed Contracts Grnts-2Yr'!H19+'Other Contracts Grnts-2Yr'!H19+'Investment Income-2Yr'!H19+'All Other E&amp;G-2Yr'!H19</f>
        <v>0</v>
      </c>
      <c r="I19" s="90">
        <f>+'Tuition-2Yr'!I19+'State Appropriations-2Yr'!I19+'Local Appropriations-2Yr'!I19+'Fed Contracts Grnts-2Yr'!I19+'Other Contracts Grnts-2Yr'!I19+'Investment Income-2Yr'!I19+'All Other E&amp;G-2Yr'!I19</f>
        <v>222080.18799999997</v>
      </c>
      <c r="J19" s="90">
        <f>+'Tuition-2Yr'!J19+'State Appropriations-2Yr'!J19+'Local Appropriations-2Yr'!J19+'Fed Contracts Grnts-2Yr'!J19+'Other Contracts Grnts-2Yr'!J19+'Investment Income-2Yr'!J19+'All Other E&amp;G-2Yr'!J19</f>
        <v>230102.28099999999</v>
      </c>
      <c r="K19" s="90">
        <f>+'Tuition-2Yr'!K19+'State Appropriations-2Yr'!K19+'Local Appropriations-2Yr'!K19+'Fed Contracts Grnts-2Yr'!K19+'Other Contracts Grnts-2Yr'!K19+'Investment Income-2Yr'!K19+'All Other E&amp;G-2Yr'!K19</f>
        <v>260923.97500000001</v>
      </c>
      <c r="L19" s="90">
        <f>+'Tuition-2Yr'!L19+'State Appropriations-2Yr'!L19+'Local Appropriations-2Yr'!L19+'Fed Contracts Grnts-2Yr'!L19+'Other Contracts Grnts-2Yr'!L19+'Investment Income-2Yr'!L19+'All Other E&amp;G-2Yr'!L19</f>
        <v>278644.20600000001</v>
      </c>
      <c r="M19" s="90">
        <f>+'Tuition-2Yr'!M19+'State Appropriations-2Yr'!M19+'Local Appropriations-2Yr'!M19+'Fed Contracts Grnts-2Yr'!M19+'Other Contracts Grnts-2Yr'!M19+'Investment Income-2Yr'!M19+'All Other E&amp;G-2Yr'!M19</f>
        <v>292593.99700000003</v>
      </c>
      <c r="N19" s="90">
        <f>+'Tuition-2Yr'!N19+'State Appropriations-2Yr'!N19+'Local Appropriations-2Yr'!N19+'Fed Contracts Grnts-2Yr'!N19+'Other Contracts Grnts-2Yr'!N19+'Investment Income-2Yr'!N19+'All Other E&amp;G-2Yr'!N19</f>
        <v>294463.83299999998</v>
      </c>
      <c r="O19" s="90">
        <f>+'Tuition-2Yr'!O19+'State Appropriations-2Yr'!O19+'Local Appropriations-2Yr'!O19+'Fed Contracts Grnts-2Yr'!O19+'Other Contracts Grnts-2Yr'!O19+'Investment Income-2Yr'!O19+'All Other E&amp;G-2Yr'!O19</f>
        <v>304948.20099999994</v>
      </c>
      <c r="P19" s="90">
        <f>+'Tuition-2Yr'!P19+'State Appropriations-2Yr'!P19+'Local Appropriations-2Yr'!P19+'Fed Contracts Grnts-2Yr'!P19+'Other Contracts Grnts-2Yr'!P19+'Investment Income-2Yr'!P19+'All Other E&amp;G-2Yr'!P19</f>
        <v>0</v>
      </c>
      <c r="Q19" s="90">
        <f>+'Tuition-2Yr'!Q19+'State Appropriations-2Yr'!Q19+'Local Appropriations-2Yr'!Q19+'Fed Contracts Grnts-2Yr'!Q19+'Other Contracts Grnts-2Yr'!Q19+'Investment Income-2Yr'!Q19+'All Other E&amp;G-2Yr'!Q19</f>
        <v>0</v>
      </c>
      <c r="R19" s="90">
        <f>+'Tuition-2Yr'!R19+'State Appropriations-2Yr'!R19+'Local Appropriations-2Yr'!R19+'Fed Contracts Grnts-2Yr'!R19+'Other Contracts Grnts-2Yr'!R19+'Investment Income-2Yr'!R19+'All Other E&amp;G-2Yr'!R19</f>
        <v>363838.07</v>
      </c>
      <c r="S19" s="90">
        <f>+'Tuition-2Yr'!S19+'State Appropriations-2Yr'!S19+'Local Appropriations-2Yr'!S19+'Fed Contracts Grnts-2Yr'!S19+'Other Contracts Grnts-2Yr'!S19+'Investment Income-2Yr'!S19+'All Other E&amp;G-2Yr'!S19</f>
        <v>385067.79299999995</v>
      </c>
      <c r="T19" s="90">
        <f>+'Tuition-2Yr'!T19+'State Appropriations-2Yr'!T19+'Local Appropriations-2Yr'!T19+'Fed Contracts Grnts-2Yr'!T19+'Other Contracts Grnts-2Yr'!T19+'Investment Income-2Yr'!T19+'All Other E&amp;G-2Yr'!T19</f>
        <v>404676.18100000004</v>
      </c>
      <c r="U19" s="90">
        <f>+'Tuition-2Yr'!U19+'State Appropriations-2Yr'!U19+'Local Appropriations-2Yr'!U19+'Fed Contracts Grnts-2Yr'!U19+'Other Contracts Grnts-2Yr'!U19+'Investment Income-2Yr'!U19+'All Other E&amp;G-2Yr'!U19</f>
        <v>391898.38500000001</v>
      </c>
      <c r="V19" s="90">
        <f>+'Tuition-2Yr'!V19+'State Appropriations-2Yr'!V19+'Local Appropriations-2Yr'!V19+'Fed Contracts Grnts-2Yr'!V19+'Other Contracts Grnts-2Yr'!V19+'Investment Income-2Yr'!V19+'All Other E&amp;G-2Yr'!V19</f>
        <v>404857.97699999996</v>
      </c>
      <c r="W19" s="90">
        <f>+'Tuition-2Yr'!W19+'State Appropriations-2Yr'!W19+'Local Appropriations-2Yr'!W19+'Fed Contracts Grnts-2Yr'!W19+'Other Contracts Grnts-2Yr'!W19+'Investment Income-2Yr'!W19+'All Other E&amp;G-2Yr'!W19</f>
        <v>483727.35</v>
      </c>
      <c r="X19" s="90">
        <f>+'Tuition-2Yr'!X19+'State Appropriations-2Yr'!X19+'Local Appropriations-2Yr'!X19+'Fed Contracts Grnts-2Yr'!X19+'Other Contracts Grnts-2Yr'!X19+'Investment Income-2Yr'!X19+'All Other E&amp;G-2Yr'!X19</f>
        <v>440302.03500000003</v>
      </c>
      <c r="Y19" s="90">
        <f>+'Tuition-2Yr'!Y19+'State Appropriations-2Yr'!Y19+'Local Appropriations-2Yr'!Y19+'Fed Contracts Grnts-2Yr'!Y19+'Other Contracts Grnts-2Yr'!Y19+'Investment Income-2Yr'!Y19+'All Other E&amp;G-2Yr'!Y19</f>
        <v>473890.97000000003</v>
      </c>
      <c r="Z19" s="90">
        <f>+'Tuition-2Yr'!Z19+'State Appropriations-2Yr'!Z19+'Local Appropriations-2Yr'!Z19+'Fed Contracts Grnts-2Yr'!Z19+'Other Contracts Grnts-2Yr'!Z19+'Investment Income-2Yr'!Z19+'All Other E&amp;G-2Yr'!Z19</f>
        <v>508930.679</v>
      </c>
      <c r="AA19" s="90">
        <f>+'Tuition-2Yr'!AA19+'State Appropriations-2Yr'!AA19+'Local Appropriations-2Yr'!AA19+'Fed Contracts Grnts-2Yr'!AA19+'Other Contracts Grnts-2Yr'!AA19+'Investment Income-2Yr'!AA19+'All Other E&amp;G-2Yr'!AA19</f>
        <v>613123.76800000004</v>
      </c>
      <c r="AB19" s="90">
        <f>+'Tuition-2Yr'!AB19+'State Appropriations-2Yr'!AB19+'Local Appropriations-2Yr'!AB19+'Fed Contracts Grnts-2Yr'!AB19+'Other Contracts Grnts-2Yr'!AB19+'Investment Income-2Yr'!AB19+'All Other E&amp;G-2Yr'!AB19</f>
        <v>757461.86700000009</v>
      </c>
      <c r="AC19" s="90">
        <f>+'Tuition-2Yr'!AC19+'State Appropriations-2Yr'!AC19+'Local Appropriations-2Yr'!AC19+'Fed Contracts Grnts-2Yr'!AC19+'Other Contracts Grnts-2Yr'!AC19+'Investment Income-2Yr'!AC19+'All Other E&amp;G-2Yr'!AC19</f>
        <v>818119</v>
      </c>
      <c r="AD19" s="90">
        <f>+'Tuition-2Yr'!AD19+'State Appropriations-2Yr'!AD19+'Local Appropriations-2Yr'!AD19+'Fed Contracts Grnts-2Yr'!AD19+'Other Contracts Grnts-2Yr'!AD19+'Investment Income-2Yr'!AD19+'All Other E&amp;G-2Yr'!AD19</f>
        <v>777144.50799999991</v>
      </c>
      <c r="AE19" s="90">
        <f>+'Tuition-2Yr'!AE19+'State Appropriations-2Yr'!AE19+'Local Appropriations-2Yr'!AE19+'Fed Contracts Grnts-2Yr'!AE19+'Other Contracts Grnts-2Yr'!AE19+'Investment Income-2Yr'!AE19+'All Other E&amp;G-2Yr'!AE19</f>
        <v>769107.72200000007</v>
      </c>
      <c r="AF19" s="90">
        <f>+'Tuition-2Yr'!AF19+'State Appropriations-2Yr'!AF19+'Local Appropriations-2Yr'!AF19+'Fed Contracts Grnts-2Yr'!AF19+'Other Contracts Grnts-2Yr'!AF19+'Investment Income-2Yr'!AF19+'All Other E&amp;G-2Yr'!AF19</f>
        <v>761054.83799999987</v>
      </c>
      <c r="AG19" s="90">
        <f>+'Tuition-2Yr'!AG19+'State Appropriations-2Yr'!AG19+'Local Appropriations-2Yr'!AG19+'Fed Contracts Grnts-2Yr'!AG19+'Other Contracts Grnts-2Yr'!AG19+'Investment Income-2Yr'!AG19+'All Other E&amp;G-2Yr'!AG19</f>
        <v>764765.66599999985</v>
      </c>
      <c r="AH19" s="90">
        <f>+'Tuition-2Yr'!AH19+'State Appropriations-2Yr'!AH19+'Local Appropriations-2Yr'!AH19+'Fed Contracts Grnts-2Yr'!AH19+'Other Contracts Grnts-2Yr'!AH19+'Investment Income-2Yr'!AH19+'All Other E&amp;G-2Yr'!AH19</f>
        <v>793749.38600000006</v>
      </c>
      <c r="AI19" s="90">
        <f>+'Tuition-2Yr'!AI19+'State Appropriations-2Yr'!AI19+'Local Appropriations-2Yr'!AI19+'Fed Contracts Grnts-2Yr'!AI19+'Other Contracts Grnts-2Yr'!AI19+'Investment Income-2Yr'!AI19+'All Other E&amp;G-2Yr'!AI19</f>
        <v>810142.54899999988</v>
      </c>
      <c r="AJ19" s="90">
        <f>+'Tuition-2Yr'!AJ19+'State Appropriations-2Yr'!AJ19+'Local Appropriations-2Yr'!AJ19+'Fed Contracts Grnts-2Yr'!AJ19+'Other Contracts Grnts-2Yr'!AJ19+'Investment Income-2Yr'!AJ19+'All Other E&amp;G-2Yr'!AJ19</f>
        <v>0</v>
      </c>
      <c r="AK19" s="90">
        <f>+'Tuition-2Yr'!AK19+'State Appropriations-2Yr'!AK19+'Local Appropriations-2Yr'!AK19+'Fed Contracts Grnts-2Yr'!AK19+'Other Contracts Grnts-2Yr'!AK19+'Investment Income-2Yr'!AK19+'All Other E&amp;G-2Yr'!AK19</f>
        <v>1011316.279</v>
      </c>
    </row>
    <row r="20" spans="1:37" ht="12.75" customHeight="1">
      <c r="A20" s="1" t="s">
        <v>34</v>
      </c>
      <c r="B20" s="90">
        <f>+'Tuition-2Yr'!B20+'State Appropriations-2Yr'!B20+'Local Appropriations-2Yr'!B20+'Fed Contracts Grnts-2Yr'!B20+'Other Contracts Grnts-2Yr'!B20+'Investment Income-2Yr'!B20+'All Other E&amp;G-2Yr'!B20</f>
        <v>776819</v>
      </c>
      <c r="C20" s="90">
        <f>+'Tuition-2Yr'!C20+'State Appropriations-2Yr'!C20+'Local Appropriations-2Yr'!C20+'Fed Contracts Grnts-2Yr'!C20+'Other Contracts Grnts-2Yr'!C20+'Investment Income-2Yr'!C20+'All Other E&amp;G-2Yr'!C20</f>
        <v>840293</v>
      </c>
      <c r="D20" s="90">
        <f>+'Tuition-2Yr'!D20+'State Appropriations-2Yr'!D20+'Local Appropriations-2Yr'!D20+'Fed Contracts Grnts-2Yr'!D20+'Other Contracts Grnts-2Yr'!D20+'Investment Income-2Yr'!D20+'All Other E&amp;G-2Yr'!D20</f>
        <v>862041</v>
      </c>
      <c r="E20" s="90">
        <f>+'Tuition-2Yr'!E20+'State Appropriations-2Yr'!E20+'Local Appropriations-2Yr'!E20+'Fed Contracts Grnts-2Yr'!E20+'Other Contracts Grnts-2Yr'!E20+'Investment Income-2Yr'!E20+'All Other E&amp;G-2Yr'!E20</f>
        <v>0</v>
      </c>
      <c r="F20" s="90">
        <f>+'Tuition-2Yr'!F20+'State Appropriations-2Yr'!F20+'Local Appropriations-2Yr'!F20+'Fed Contracts Grnts-2Yr'!F20+'Other Contracts Grnts-2Yr'!F20+'Investment Income-2Yr'!F20+'All Other E&amp;G-2Yr'!F20</f>
        <v>0</v>
      </c>
      <c r="G20" s="90">
        <f>+'Tuition-2Yr'!G20+'State Appropriations-2Yr'!G20+'Local Appropriations-2Yr'!G20+'Fed Contracts Grnts-2Yr'!G20+'Other Contracts Grnts-2Yr'!G20+'Investment Income-2Yr'!G20+'All Other E&amp;G-2Yr'!G20</f>
        <v>0</v>
      </c>
      <c r="H20" s="90">
        <f>+'Tuition-2Yr'!H20+'State Appropriations-2Yr'!H20+'Local Appropriations-2Yr'!H20+'Fed Contracts Grnts-2Yr'!H20+'Other Contracts Grnts-2Yr'!H20+'Investment Income-2Yr'!H20+'All Other E&amp;G-2Yr'!H20</f>
        <v>0</v>
      </c>
      <c r="I20" s="90">
        <f>+'Tuition-2Yr'!I20+'State Appropriations-2Yr'!I20+'Local Appropriations-2Yr'!I20+'Fed Contracts Grnts-2Yr'!I20+'Other Contracts Grnts-2Yr'!I20+'Investment Income-2Yr'!I20+'All Other E&amp;G-2Yr'!I20</f>
        <v>1226612.4129999999</v>
      </c>
      <c r="J20" s="90">
        <f>+'Tuition-2Yr'!J20+'State Appropriations-2Yr'!J20+'Local Appropriations-2Yr'!J20+'Fed Contracts Grnts-2Yr'!J20+'Other Contracts Grnts-2Yr'!J20+'Investment Income-2Yr'!J20+'All Other E&amp;G-2Yr'!J20</f>
        <v>1311594.108</v>
      </c>
      <c r="K20" s="90">
        <f>+'Tuition-2Yr'!K20+'State Appropriations-2Yr'!K20+'Local Appropriations-2Yr'!K20+'Fed Contracts Grnts-2Yr'!K20+'Other Contracts Grnts-2Yr'!K20+'Investment Income-2Yr'!K20+'All Other E&amp;G-2Yr'!K20</f>
        <v>1456687.4949999999</v>
      </c>
      <c r="L20" s="90">
        <f>+'Tuition-2Yr'!L20+'State Appropriations-2Yr'!L20+'Local Appropriations-2Yr'!L20+'Fed Contracts Grnts-2Yr'!L20+'Other Contracts Grnts-2Yr'!L20+'Investment Income-2Yr'!L20+'All Other E&amp;G-2Yr'!L20</f>
        <v>1597268.425</v>
      </c>
      <c r="M20" s="90">
        <f>+'Tuition-2Yr'!M20+'State Appropriations-2Yr'!M20+'Local Appropriations-2Yr'!M20+'Fed Contracts Grnts-2Yr'!M20+'Other Contracts Grnts-2Yr'!M20+'Investment Income-2Yr'!M20+'All Other E&amp;G-2Yr'!M20</f>
        <v>1560776.5050000004</v>
      </c>
      <c r="N20" s="90">
        <f>+'Tuition-2Yr'!N20+'State Appropriations-2Yr'!N20+'Local Appropriations-2Yr'!N20+'Fed Contracts Grnts-2Yr'!N20+'Other Contracts Grnts-2Yr'!N20+'Investment Income-2Yr'!N20+'All Other E&amp;G-2Yr'!N20</f>
        <v>1737708.8190000001</v>
      </c>
      <c r="O20" s="90">
        <f>+'Tuition-2Yr'!O20+'State Appropriations-2Yr'!O20+'Local Appropriations-2Yr'!O20+'Fed Contracts Grnts-2Yr'!O20+'Other Contracts Grnts-2Yr'!O20+'Investment Income-2Yr'!O20+'All Other E&amp;G-2Yr'!O20</f>
        <v>1819824.8669999999</v>
      </c>
      <c r="P20" s="90">
        <f>+'Tuition-2Yr'!P20+'State Appropriations-2Yr'!P20+'Local Appropriations-2Yr'!P20+'Fed Contracts Grnts-2Yr'!P20+'Other Contracts Grnts-2Yr'!P20+'Investment Income-2Yr'!P20+'All Other E&amp;G-2Yr'!P20</f>
        <v>0</v>
      </c>
      <c r="Q20" s="90">
        <f>+'Tuition-2Yr'!Q20+'State Appropriations-2Yr'!Q20+'Local Appropriations-2Yr'!Q20+'Fed Contracts Grnts-2Yr'!Q20+'Other Contracts Grnts-2Yr'!Q20+'Investment Income-2Yr'!Q20+'All Other E&amp;G-2Yr'!Q20</f>
        <v>0</v>
      </c>
      <c r="R20" s="90">
        <f>+'Tuition-2Yr'!R20+'State Appropriations-2Yr'!R20+'Local Appropriations-2Yr'!R20+'Fed Contracts Grnts-2Yr'!R20+'Other Contracts Grnts-2Yr'!R20+'Investment Income-2Yr'!R20+'All Other E&amp;G-2Yr'!R20</f>
        <v>2177010.2510000002</v>
      </c>
      <c r="S20" s="90">
        <f>+'Tuition-2Yr'!S20+'State Appropriations-2Yr'!S20+'Local Appropriations-2Yr'!S20+'Fed Contracts Grnts-2Yr'!S20+'Other Contracts Grnts-2Yr'!S20+'Investment Income-2Yr'!S20+'All Other E&amp;G-2Yr'!S20</f>
        <v>2360696.7749999994</v>
      </c>
      <c r="T20" s="90">
        <f>+'Tuition-2Yr'!T20+'State Appropriations-2Yr'!T20+'Local Appropriations-2Yr'!T20+'Fed Contracts Grnts-2Yr'!T20+'Other Contracts Grnts-2Yr'!T20+'Investment Income-2Yr'!T20+'All Other E&amp;G-2Yr'!T20</f>
        <v>2737560.9309999999</v>
      </c>
      <c r="U20" s="90">
        <f>+'Tuition-2Yr'!U20+'State Appropriations-2Yr'!U20+'Local Appropriations-2Yr'!U20+'Fed Contracts Grnts-2Yr'!U20+'Other Contracts Grnts-2Yr'!U20+'Investment Income-2Yr'!U20+'All Other E&amp;G-2Yr'!U20</f>
        <v>2842984.3719999995</v>
      </c>
      <c r="V20" s="90">
        <f>+'Tuition-2Yr'!V20+'State Appropriations-2Yr'!V20+'Local Appropriations-2Yr'!V20+'Fed Contracts Grnts-2Yr'!V20+'Other Contracts Grnts-2Yr'!V20+'Investment Income-2Yr'!V20+'All Other E&amp;G-2Yr'!V20</f>
        <v>2885562.0559999994</v>
      </c>
      <c r="W20" s="90">
        <f>+'Tuition-2Yr'!W20+'State Appropriations-2Yr'!W20+'Local Appropriations-2Yr'!W20+'Fed Contracts Grnts-2Yr'!W20+'Other Contracts Grnts-2Yr'!W20+'Investment Income-2Yr'!W20+'All Other E&amp;G-2Yr'!W20</f>
        <v>3220762.9209999996</v>
      </c>
      <c r="X20" s="90">
        <f>+'Tuition-2Yr'!X20+'State Appropriations-2Yr'!X20+'Local Appropriations-2Yr'!X20+'Fed Contracts Grnts-2Yr'!X20+'Other Contracts Grnts-2Yr'!X20+'Investment Income-2Yr'!X20+'All Other E&amp;G-2Yr'!X20</f>
        <v>3237642.5360000003</v>
      </c>
      <c r="Y20" s="90">
        <f>+'Tuition-2Yr'!Y20+'State Appropriations-2Yr'!Y20+'Local Appropriations-2Yr'!Y20+'Fed Contracts Grnts-2Yr'!Y20+'Other Contracts Grnts-2Yr'!Y20+'Investment Income-2Yr'!Y20+'All Other E&amp;G-2Yr'!Y20</f>
        <v>3446571.7670000005</v>
      </c>
      <c r="Z20" s="90">
        <f>+'Tuition-2Yr'!Z20+'State Appropriations-2Yr'!Z20+'Local Appropriations-2Yr'!Z20+'Fed Contracts Grnts-2Yr'!Z20+'Other Contracts Grnts-2Yr'!Z20+'Investment Income-2Yr'!Z20+'All Other E&amp;G-2Yr'!Z20</f>
        <v>3725087.45</v>
      </c>
      <c r="AA20" s="90">
        <f>+'Tuition-2Yr'!AA20+'State Appropriations-2Yr'!AA20+'Local Appropriations-2Yr'!AA20+'Fed Contracts Grnts-2Yr'!AA20+'Other Contracts Grnts-2Yr'!AA20+'Investment Income-2Yr'!AA20+'All Other E&amp;G-2Yr'!AA20</f>
        <v>4503003.7050000001</v>
      </c>
      <c r="AB20" s="90">
        <f>+'Tuition-2Yr'!AB20+'State Appropriations-2Yr'!AB20+'Local Appropriations-2Yr'!AB20+'Fed Contracts Grnts-2Yr'!AB20+'Other Contracts Grnts-2Yr'!AB20+'Investment Income-2Yr'!AB20+'All Other E&amp;G-2Yr'!AB20</f>
        <v>5203760.0190000003</v>
      </c>
      <c r="AC20" s="90">
        <f>+'Tuition-2Yr'!AC20+'State Appropriations-2Yr'!AC20+'Local Appropriations-2Yr'!AC20+'Fed Contracts Grnts-2Yr'!AC20+'Other Contracts Grnts-2Yr'!AC20+'Investment Income-2Yr'!AC20+'All Other E&amp;G-2Yr'!AC20</f>
        <v>5572475</v>
      </c>
      <c r="AD20" s="90">
        <f>+'Tuition-2Yr'!AD20+'State Appropriations-2Yr'!AD20+'Local Appropriations-2Yr'!AD20+'Fed Contracts Grnts-2Yr'!AD20+'Other Contracts Grnts-2Yr'!AD20+'Investment Income-2Yr'!AD20+'All Other E&amp;G-2Yr'!AD20</f>
        <v>5535151.3050000006</v>
      </c>
      <c r="AE20" s="90">
        <f>+'Tuition-2Yr'!AE20+'State Appropriations-2Yr'!AE20+'Local Appropriations-2Yr'!AE20+'Fed Contracts Grnts-2Yr'!AE20+'Other Contracts Grnts-2Yr'!AE20+'Investment Income-2Yr'!AE20+'All Other E&amp;G-2Yr'!AE20</f>
        <v>5561027.8169999998</v>
      </c>
      <c r="AF20" s="90">
        <f>+'Tuition-2Yr'!AF20+'State Appropriations-2Yr'!AF20+'Local Appropriations-2Yr'!AF20+'Fed Contracts Grnts-2Yr'!AF20+'Other Contracts Grnts-2Yr'!AF20+'Investment Income-2Yr'!AF20+'All Other E&amp;G-2Yr'!AF20</f>
        <v>5662672.943</v>
      </c>
      <c r="AG20" s="90">
        <f>+'Tuition-2Yr'!AG20+'State Appropriations-2Yr'!AG20+'Local Appropriations-2Yr'!AG20+'Fed Contracts Grnts-2Yr'!AG20+'Other Contracts Grnts-2Yr'!AG20+'Investment Income-2Yr'!AG20+'All Other E&amp;G-2Yr'!AG20</f>
        <v>5698642.1490000011</v>
      </c>
      <c r="AH20" s="90">
        <f>+'Tuition-2Yr'!AH20+'State Appropriations-2Yr'!AH20+'Local Appropriations-2Yr'!AH20+'Fed Contracts Grnts-2Yr'!AH20+'Other Contracts Grnts-2Yr'!AH20+'Investment Income-2Yr'!AH20+'All Other E&amp;G-2Yr'!AH20</f>
        <v>5850550.3310000002</v>
      </c>
      <c r="AI20" s="90">
        <f>+'Tuition-2Yr'!AI20+'State Appropriations-2Yr'!AI20+'Local Appropriations-2Yr'!AI20+'Fed Contracts Grnts-2Yr'!AI20+'Other Contracts Grnts-2Yr'!AI20+'Investment Income-2Yr'!AI20+'All Other E&amp;G-2Yr'!AI20</f>
        <v>6225632.7530000005</v>
      </c>
      <c r="AJ20" s="90">
        <f>+'Tuition-2Yr'!AJ20+'State Appropriations-2Yr'!AJ20+'Local Appropriations-2Yr'!AJ20+'Fed Contracts Grnts-2Yr'!AJ20+'Other Contracts Grnts-2Yr'!AJ20+'Investment Income-2Yr'!AJ20+'All Other E&amp;G-2Yr'!AJ20</f>
        <v>0</v>
      </c>
      <c r="AK20" s="90">
        <f>+'Tuition-2Yr'!AK20+'State Appropriations-2Yr'!AK20+'Local Appropriations-2Yr'!AK20+'Fed Contracts Grnts-2Yr'!AK20+'Other Contracts Grnts-2Yr'!AK20+'Investment Income-2Yr'!AK20+'All Other E&amp;G-2Yr'!AK20</f>
        <v>7447740.0010000002</v>
      </c>
    </row>
    <row r="21" spans="1:37" ht="12.75" customHeight="1">
      <c r="A21" s="1" t="s">
        <v>35</v>
      </c>
      <c r="B21" s="90">
        <f>+'Tuition-2Yr'!B21+'State Appropriations-2Yr'!B21+'Local Appropriations-2Yr'!B21+'Fed Contracts Grnts-2Yr'!B21+'Other Contracts Grnts-2Yr'!B21+'Investment Income-2Yr'!B21+'All Other E&amp;G-2Yr'!B21</f>
        <v>177943</v>
      </c>
      <c r="C21" s="90">
        <f>+'Tuition-2Yr'!C21+'State Appropriations-2Yr'!C21+'Local Appropriations-2Yr'!C21+'Fed Contracts Grnts-2Yr'!C21+'Other Contracts Grnts-2Yr'!C21+'Investment Income-2Yr'!C21+'All Other E&amp;G-2Yr'!C21</f>
        <v>201076</v>
      </c>
      <c r="D21" s="90">
        <f>+'Tuition-2Yr'!D21+'State Appropriations-2Yr'!D21+'Local Appropriations-2Yr'!D21+'Fed Contracts Grnts-2Yr'!D21+'Other Contracts Grnts-2Yr'!D21+'Investment Income-2Yr'!D21+'All Other E&amp;G-2Yr'!D21</f>
        <v>215322</v>
      </c>
      <c r="E21" s="90">
        <f>+'Tuition-2Yr'!E21+'State Appropriations-2Yr'!E21+'Local Appropriations-2Yr'!E21+'Fed Contracts Grnts-2Yr'!E21+'Other Contracts Grnts-2Yr'!E21+'Investment Income-2Yr'!E21+'All Other E&amp;G-2Yr'!E21</f>
        <v>0</v>
      </c>
      <c r="F21" s="90">
        <f>+'Tuition-2Yr'!F21+'State Appropriations-2Yr'!F21+'Local Appropriations-2Yr'!F21+'Fed Contracts Grnts-2Yr'!F21+'Other Contracts Grnts-2Yr'!F21+'Investment Income-2Yr'!F21+'All Other E&amp;G-2Yr'!F21</f>
        <v>0</v>
      </c>
      <c r="G21" s="90">
        <f>+'Tuition-2Yr'!G21+'State Appropriations-2Yr'!G21+'Local Appropriations-2Yr'!G21+'Fed Contracts Grnts-2Yr'!G21+'Other Contracts Grnts-2Yr'!G21+'Investment Income-2Yr'!G21+'All Other E&amp;G-2Yr'!G21</f>
        <v>0</v>
      </c>
      <c r="H21" s="90">
        <f>+'Tuition-2Yr'!H21+'State Appropriations-2Yr'!H21+'Local Appropriations-2Yr'!H21+'Fed Contracts Grnts-2Yr'!H21+'Other Contracts Grnts-2Yr'!H21+'Investment Income-2Yr'!H21+'All Other E&amp;G-2Yr'!H21</f>
        <v>0</v>
      </c>
      <c r="I21" s="90">
        <f>+'Tuition-2Yr'!I21+'State Appropriations-2Yr'!I21+'Local Appropriations-2Yr'!I21+'Fed Contracts Grnts-2Yr'!I21+'Other Contracts Grnts-2Yr'!I21+'Investment Income-2Yr'!I21+'All Other E&amp;G-2Yr'!I21</f>
        <v>297333.28000000003</v>
      </c>
      <c r="J21" s="90">
        <f>+'Tuition-2Yr'!J21+'State Appropriations-2Yr'!J21+'Local Appropriations-2Yr'!J21+'Fed Contracts Grnts-2Yr'!J21+'Other Contracts Grnts-2Yr'!J21+'Investment Income-2Yr'!J21+'All Other E&amp;G-2Yr'!J21</f>
        <v>313780.29399999999</v>
      </c>
      <c r="K21" s="90">
        <f>+'Tuition-2Yr'!K21+'State Appropriations-2Yr'!K21+'Local Appropriations-2Yr'!K21+'Fed Contracts Grnts-2Yr'!K21+'Other Contracts Grnts-2Yr'!K21+'Investment Income-2Yr'!K21+'All Other E&amp;G-2Yr'!K21</f>
        <v>339257.99099999998</v>
      </c>
      <c r="L21" s="90">
        <f>+'Tuition-2Yr'!L21+'State Appropriations-2Yr'!L21+'Local Appropriations-2Yr'!L21+'Fed Contracts Grnts-2Yr'!L21+'Other Contracts Grnts-2Yr'!L21+'Investment Income-2Yr'!L21+'All Other E&amp;G-2Yr'!L21</f>
        <v>361336.98899999994</v>
      </c>
      <c r="M21" s="90">
        <f>+'Tuition-2Yr'!M21+'State Appropriations-2Yr'!M21+'Local Appropriations-2Yr'!M21+'Fed Contracts Grnts-2Yr'!M21+'Other Contracts Grnts-2Yr'!M21+'Investment Income-2Yr'!M21+'All Other E&amp;G-2Yr'!M21</f>
        <v>379465.30199999997</v>
      </c>
      <c r="N21" s="90">
        <f>+'Tuition-2Yr'!N21+'State Appropriations-2Yr'!N21+'Local Appropriations-2Yr'!N21+'Fed Contracts Grnts-2Yr'!N21+'Other Contracts Grnts-2Yr'!N21+'Investment Income-2Yr'!N21+'All Other E&amp;G-2Yr'!N21</f>
        <v>383395.63100000005</v>
      </c>
      <c r="O21" s="90">
        <f>+'Tuition-2Yr'!O21+'State Appropriations-2Yr'!O21+'Local Appropriations-2Yr'!O21+'Fed Contracts Grnts-2Yr'!O21+'Other Contracts Grnts-2Yr'!O21+'Investment Income-2Yr'!O21+'All Other E&amp;G-2Yr'!O21</f>
        <v>399016.223</v>
      </c>
      <c r="P21" s="90">
        <f>+'Tuition-2Yr'!P21+'State Appropriations-2Yr'!P21+'Local Appropriations-2Yr'!P21+'Fed Contracts Grnts-2Yr'!P21+'Other Contracts Grnts-2Yr'!P21+'Investment Income-2Yr'!P21+'All Other E&amp;G-2Yr'!P21</f>
        <v>0</v>
      </c>
      <c r="Q21" s="90">
        <f>+'Tuition-2Yr'!Q21+'State Appropriations-2Yr'!Q21+'Local Appropriations-2Yr'!Q21+'Fed Contracts Grnts-2Yr'!Q21+'Other Contracts Grnts-2Yr'!Q21+'Investment Income-2Yr'!Q21+'All Other E&amp;G-2Yr'!Q21</f>
        <v>0</v>
      </c>
      <c r="R21" s="90">
        <f>+'Tuition-2Yr'!R21+'State Appropriations-2Yr'!R21+'Local Appropriations-2Yr'!R21+'Fed Contracts Grnts-2Yr'!R21+'Other Contracts Grnts-2Yr'!R21+'Investment Income-2Yr'!R21+'All Other E&amp;G-2Yr'!R21</f>
        <v>495288.62099999998</v>
      </c>
      <c r="S21" s="90">
        <f>+'Tuition-2Yr'!S21+'State Appropriations-2Yr'!S21+'Local Appropriations-2Yr'!S21+'Fed Contracts Grnts-2Yr'!S21+'Other Contracts Grnts-2Yr'!S21+'Investment Income-2Yr'!S21+'All Other E&amp;G-2Yr'!S21</f>
        <v>532372.63</v>
      </c>
      <c r="T21" s="90">
        <f>+'Tuition-2Yr'!T21+'State Appropriations-2Yr'!T21+'Local Appropriations-2Yr'!T21+'Fed Contracts Grnts-2Yr'!T21+'Other Contracts Grnts-2Yr'!T21+'Investment Income-2Yr'!T21+'All Other E&amp;G-2Yr'!T21</f>
        <v>561006.33000000007</v>
      </c>
      <c r="U21" s="90">
        <f>+'Tuition-2Yr'!U21+'State Appropriations-2Yr'!U21+'Local Appropriations-2Yr'!U21+'Fed Contracts Grnts-2Yr'!U21+'Other Contracts Grnts-2Yr'!U21+'Investment Income-2Yr'!U21+'All Other E&amp;G-2Yr'!U21</f>
        <v>546295.8629999999</v>
      </c>
      <c r="V21" s="90">
        <f>+'Tuition-2Yr'!V21+'State Appropriations-2Yr'!V21+'Local Appropriations-2Yr'!V21+'Fed Contracts Grnts-2Yr'!V21+'Other Contracts Grnts-2Yr'!V21+'Investment Income-2Yr'!V21+'All Other E&amp;G-2Yr'!V21</f>
        <v>576757.31800000009</v>
      </c>
      <c r="W21" s="90">
        <f>+'Tuition-2Yr'!W21+'State Appropriations-2Yr'!W21+'Local Appropriations-2Yr'!W21+'Fed Contracts Grnts-2Yr'!W21+'Other Contracts Grnts-2Yr'!W21+'Investment Income-2Yr'!W21+'All Other E&amp;G-2Yr'!W21</f>
        <v>649699.16</v>
      </c>
      <c r="X21" s="90">
        <f>+'Tuition-2Yr'!X21+'State Appropriations-2Yr'!X21+'Local Appropriations-2Yr'!X21+'Fed Contracts Grnts-2Yr'!X21+'Other Contracts Grnts-2Yr'!X21+'Investment Income-2Yr'!X21+'All Other E&amp;G-2Yr'!X21</f>
        <v>682607.23100000003</v>
      </c>
      <c r="Y21" s="90">
        <f>+'Tuition-2Yr'!Y21+'State Appropriations-2Yr'!Y21+'Local Appropriations-2Yr'!Y21+'Fed Contracts Grnts-2Yr'!Y21+'Other Contracts Grnts-2Yr'!Y21+'Investment Income-2Yr'!Y21+'All Other E&amp;G-2Yr'!Y21</f>
        <v>731504.38600000017</v>
      </c>
      <c r="Z21" s="90">
        <f>+'Tuition-2Yr'!Z21+'State Appropriations-2Yr'!Z21+'Local Appropriations-2Yr'!Z21+'Fed Contracts Grnts-2Yr'!Z21+'Other Contracts Grnts-2Yr'!Z21+'Investment Income-2Yr'!Z21+'All Other E&amp;G-2Yr'!Z21</f>
        <v>815964.93900000001</v>
      </c>
      <c r="AA21" s="90">
        <f>+'Tuition-2Yr'!AA21+'State Appropriations-2Yr'!AA21+'Local Appropriations-2Yr'!AA21+'Fed Contracts Grnts-2Yr'!AA21+'Other Contracts Grnts-2Yr'!AA21+'Investment Income-2Yr'!AA21+'All Other E&amp;G-2Yr'!AA21</f>
        <v>919344.79800000007</v>
      </c>
      <c r="AB21" s="90">
        <f>+'Tuition-2Yr'!AB21+'State Appropriations-2Yr'!AB21+'Local Appropriations-2Yr'!AB21+'Fed Contracts Grnts-2Yr'!AB21+'Other Contracts Grnts-2Yr'!AB21+'Investment Income-2Yr'!AB21+'All Other E&amp;G-2Yr'!AB21</f>
        <v>1050946.3019999999</v>
      </c>
      <c r="AC21" s="90">
        <f>+'Tuition-2Yr'!AC21+'State Appropriations-2Yr'!AC21+'Local Appropriations-2Yr'!AC21+'Fed Contracts Grnts-2Yr'!AC21+'Other Contracts Grnts-2Yr'!AC21+'Investment Income-2Yr'!AC21+'All Other E&amp;G-2Yr'!AC21</f>
        <v>1193766</v>
      </c>
      <c r="AD21" s="90">
        <f>+'Tuition-2Yr'!AD21+'State Appropriations-2Yr'!AD21+'Local Appropriations-2Yr'!AD21+'Fed Contracts Grnts-2Yr'!AD21+'Other Contracts Grnts-2Yr'!AD21+'Investment Income-2Yr'!AD21+'All Other E&amp;G-2Yr'!AD21</f>
        <v>1257964.1999999997</v>
      </c>
      <c r="AE21" s="90">
        <f>+'Tuition-2Yr'!AE21+'State Appropriations-2Yr'!AE21+'Local Appropriations-2Yr'!AE21+'Fed Contracts Grnts-2Yr'!AE21+'Other Contracts Grnts-2Yr'!AE21+'Investment Income-2Yr'!AE21+'All Other E&amp;G-2Yr'!AE21</f>
        <v>1290413.6509999998</v>
      </c>
      <c r="AF21" s="90">
        <f>+'Tuition-2Yr'!AF21+'State Appropriations-2Yr'!AF21+'Local Appropriations-2Yr'!AF21+'Fed Contracts Grnts-2Yr'!AF21+'Other Contracts Grnts-2Yr'!AF21+'Investment Income-2Yr'!AF21+'All Other E&amp;G-2Yr'!AF21</f>
        <v>1305413.1650000003</v>
      </c>
      <c r="AG21" s="90">
        <f>+'Tuition-2Yr'!AG21+'State Appropriations-2Yr'!AG21+'Local Appropriations-2Yr'!AG21+'Fed Contracts Grnts-2Yr'!AG21+'Other Contracts Grnts-2Yr'!AG21+'Investment Income-2Yr'!AG21+'All Other E&amp;G-2Yr'!AG21</f>
        <v>1291061.0549999997</v>
      </c>
      <c r="AH21" s="90">
        <f>+'Tuition-2Yr'!AH21+'State Appropriations-2Yr'!AH21+'Local Appropriations-2Yr'!AH21+'Fed Contracts Grnts-2Yr'!AH21+'Other Contracts Grnts-2Yr'!AH21+'Investment Income-2Yr'!AH21+'All Other E&amp;G-2Yr'!AH21</f>
        <v>1268702.9850000001</v>
      </c>
      <c r="AI21" s="90">
        <f>+'Tuition-2Yr'!AI21+'State Appropriations-2Yr'!AI21+'Local Appropriations-2Yr'!AI21+'Fed Contracts Grnts-2Yr'!AI21+'Other Contracts Grnts-2Yr'!AI21+'Investment Income-2Yr'!AI21+'All Other E&amp;G-2Yr'!AI21</f>
        <v>1262267.7550000001</v>
      </c>
      <c r="AJ21" s="90">
        <f>+'Tuition-2Yr'!AJ21+'State Appropriations-2Yr'!AJ21+'Local Appropriations-2Yr'!AJ21+'Fed Contracts Grnts-2Yr'!AJ21+'Other Contracts Grnts-2Yr'!AJ21+'Investment Income-2Yr'!AJ21+'All Other E&amp;G-2Yr'!AJ21</f>
        <v>0</v>
      </c>
      <c r="AK21" s="90">
        <f>+'Tuition-2Yr'!AK21+'State Appropriations-2Yr'!AK21+'Local Appropriations-2Yr'!AK21+'Fed Contracts Grnts-2Yr'!AK21+'Other Contracts Grnts-2Yr'!AK21+'Investment Income-2Yr'!AK21+'All Other E&amp;G-2Yr'!AK21</f>
        <v>1335472.9299999997</v>
      </c>
    </row>
    <row r="22" spans="1:37" ht="12.75" customHeight="1">
      <c r="A22" s="30" t="s">
        <v>36</v>
      </c>
      <c r="B22" s="91">
        <f>+'Tuition-2Yr'!B22+'State Appropriations-2Yr'!B22+'Local Appropriations-2Yr'!B22+'Fed Contracts Grnts-2Yr'!B22+'Other Contracts Grnts-2Yr'!B22+'Investment Income-2Yr'!B22+'All Other E&amp;G-2Yr'!B22</f>
        <v>18028</v>
      </c>
      <c r="C22" s="91">
        <f>+'Tuition-2Yr'!C22+'State Appropriations-2Yr'!C22+'Local Appropriations-2Yr'!C22+'Fed Contracts Grnts-2Yr'!C22+'Other Contracts Grnts-2Yr'!C22+'Investment Income-2Yr'!C22+'All Other E&amp;G-2Yr'!C22</f>
        <v>19166</v>
      </c>
      <c r="D22" s="91">
        <f>+'Tuition-2Yr'!D22+'State Appropriations-2Yr'!D22+'Local Appropriations-2Yr'!D22+'Fed Contracts Grnts-2Yr'!D22+'Other Contracts Grnts-2Yr'!D22+'Investment Income-2Yr'!D22+'All Other E&amp;G-2Yr'!D22</f>
        <v>21178</v>
      </c>
      <c r="E22" s="91">
        <f>+'Tuition-2Yr'!E22+'State Appropriations-2Yr'!E22+'Local Appropriations-2Yr'!E22+'Fed Contracts Grnts-2Yr'!E22+'Other Contracts Grnts-2Yr'!E22+'Investment Income-2Yr'!E22+'All Other E&amp;G-2Yr'!E22</f>
        <v>0</v>
      </c>
      <c r="F22" s="91">
        <f>+'Tuition-2Yr'!F22+'State Appropriations-2Yr'!F22+'Local Appropriations-2Yr'!F22+'Fed Contracts Grnts-2Yr'!F22+'Other Contracts Grnts-2Yr'!F22+'Investment Income-2Yr'!F22+'All Other E&amp;G-2Yr'!F22</f>
        <v>0</v>
      </c>
      <c r="G22" s="91">
        <f>+'Tuition-2Yr'!G22+'State Appropriations-2Yr'!G22+'Local Appropriations-2Yr'!G22+'Fed Contracts Grnts-2Yr'!G22+'Other Contracts Grnts-2Yr'!G22+'Investment Income-2Yr'!G22+'All Other E&amp;G-2Yr'!G22</f>
        <v>0</v>
      </c>
      <c r="H22" s="91">
        <f>+'Tuition-2Yr'!H22+'State Appropriations-2Yr'!H22+'Local Appropriations-2Yr'!H22+'Fed Contracts Grnts-2Yr'!H22+'Other Contracts Grnts-2Yr'!H22+'Investment Income-2Yr'!H22+'All Other E&amp;G-2Yr'!H22</f>
        <v>0</v>
      </c>
      <c r="I22" s="91">
        <f>+'Tuition-2Yr'!I22+'State Appropriations-2Yr'!I22+'Local Appropriations-2Yr'!I22+'Fed Contracts Grnts-2Yr'!I22+'Other Contracts Grnts-2Yr'!I22+'Investment Income-2Yr'!I22+'All Other E&amp;G-2Yr'!I22</f>
        <v>22025.544000000002</v>
      </c>
      <c r="J22" s="91">
        <f>+'Tuition-2Yr'!J22+'State Appropriations-2Yr'!J22+'Local Appropriations-2Yr'!J22+'Fed Contracts Grnts-2Yr'!J22+'Other Contracts Grnts-2Yr'!J22+'Investment Income-2Yr'!J22+'All Other E&amp;G-2Yr'!J22</f>
        <v>24365.755999999998</v>
      </c>
      <c r="K22" s="91">
        <f>+'Tuition-2Yr'!K22+'State Appropriations-2Yr'!K22+'Local Appropriations-2Yr'!K22+'Fed Contracts Grnts-2Yr'!K22+'Other Contracts Grnts-2Yr'!K22+'Investment Income-2Yr'!K22+'All Other E&amp;G-2Yr'!K22</f>
        <v>25291.786999999997</v>
      </c>
      <c r="L22" s="91">
        <f>+'Tuition-2Yr'!L22+'State Appropriations-2Yr'!L22+'Local Appropriations-2Yr'!L22+'Fed Contracts Grnts-2Yr'!L22+'Other Contracts Grnts-2Yr'!L22+'Investment Income-2Yr'!L22+'All Other E&amp;G-2Yr'!L22</f>
        <v>27132.163999999997</v>
      </c>
      <c r="M22" s="91">
        <f>+'Tuition-2Yr'!M22+'State Appropriations-2Yr'!M22+'Local Appropriations-2Yr'!M22+'Fed Contracts Grnts-2Yr'!M22+'Other Contracts Grnts-2Yr'!M22+'Investment Income-2Yr'!M22+'All Other E&amp;G-2Yr'!M22</f>
        <v>29372.907000000003</v>
      </c>
      <c r="N22" s="91">
        <f>+'Tuition-2Yr'!N22+'State Appropriations-2Yr'!N22+'Local Appropriations-2Yr'!N22+'Fed Contracts Grnts-2Yr'!N22+'Other Contracts Grnts-2Yr'!N22+'Investment Income-2Yr'!N22+'All Other E&amp;G-2Yr'!N22</f>
        <v>30930.39</v>
      </c>
      <c r="O22" s="91">
        <f>+'Tuition-2Yr'!O22+'State Appropriations-2Yr'!O22+'Local Appropriations-2Yr'!O22+'Fed Contracts Grnts-2Yr'!O22+'Other Contracts Grnts-2Yr'!O22+'Investment Income-2Yr'!O22+'All Other E&amp;G-2Yr'!O22</f>
        <v>30811.746520000001</v>
      </c>
      <c r="P22" s="91">
        <f>+'Tuition-2Yr'!P22+'State Appropriations-2Yr'!P22+'Local Appropriations-2Yr'!P22+'Fed Contracts Grnts-2Yr'!P22+'Other Contracts Grnts-2Yr'!P22+'Investment Income-2Yr'!P22+'All Other E&amp;G-2Yr'!P22</f>
        <v>0</v>
      </c>
      <c r="Q22" s="91">
        <f>+'Tuition-2Yr'!Q22+'State Appropriations-2Yr'!Q22+'Local Appropriations-2Yr'!Q22+'Fed Contracts Grnts-2Yr'!Q22+'Other Contracts Grnts-2Yr'!Q22+'Investment Income-2Yr'!Q22+'All Other E&amp;G-2Yr'!Q22</f>
        <v>0</v>
      </c>
      <c r="R22" s="91">
        <f>+'Tuition-2Yr'!R22+'State Appropriations-2Yr'!R22+'Local Appropriations-2Yr'!R22+'Fed Contracts Grnts-2Yr'!R22+'Other Contracts Grnts-2Yr'!R22+'Investment Income-2Yr'!R22+'All Other E&amp;G-2Yr'!R22</f>
        <v>34805.661</v>
      </c>
      <c r="S22" s="91">
        <f>+'Tuition-2Yr'!S22+'State Appropriations-2Yr'!S22+'Local Appropriations-2Yr'!S22+'Fed Contracts Grnts-2Yr'!S22+'Other Contracts Grnts-2Yr'!S22+'Investment Income-2Yr'!S22+'All Other E&amp;G-2Yr'!S22</f>
        <v>47961.387000000002</v>
      </c>
      <c r="T22" s="91">
        <f>+'Tuition-2Yr'!T22+'State Appropriations-2Yr'!T22+'Local Appropriations-2Yr'!T22+'Fed Contracts Grnts-2Yr'!T22+'Other Contracts Grnts-2Yr'!T22+'Investment Income-2Yr'!T22+'All Other E&amp;G-2Yr'!T22</f>
        <v>37240.935999999994</v>
      </c>
      <c r="U22" s="91">
        <f>+'Tuition-2Yr'!U22+'State Appropriations-2Yr'!U22+'Local Appropriations-2Yr'!U22+'Fed Contracts Grnts-2Yr'!U22+'Other Contracts Grnts-2Yr'!U22+'Investment Income-2Yr'!U22+'All Other E&amp;G-2Yr'!U22</f>
        <v>41729.704999999994</v>
      </c>
      <c r="V22" s="91">
        <f>+'Tuition-2Yr'!V22+'State Appropriations-2Yr'!V22+'Local Appropriations-2Yr'!V22+'Fed Contracts Grnts-2Yr'!V22+'Other Contracts Grnts-2Yr'!V22+'Investment Income-2Yr'!V22+'All Other E&amp;G-2Yr'!V22</f>
        <v>33998.618000000009</v>
      </c>
      <c r="W22" s="91">
        <f>+'Tuition-2Yr'!W22+'State Appropriations-2Yr'!W22+'Local Appropriations-2Yr'!W22+'Fed Contracts Grnts-2Yr'!W22+'Other Contracts Grnts-2Yr'!W22+'Investment Income-2Yr'!W22+'All Other E&amp;G-2Yr'!W22</f>
        <v>86243.690999999992</v>
      </c>
      <c r="X22" s="91">
        <f>+'Tuition-2Yr'!X22+'State Appropriations-2Yr'!X22+'Local Appropriations-2Yr'!X22+'Fed Contracts Grnts-2Yr'!X22+'Other Contracts Grnts-2Yr'!X22+'Investment Income-2Yr'!X22+'All Other E&amp;G-2Yr'!X22</f>
        <v>77138.824999999997</v>
      </c>
      <c r="Y22" s="91">
        <f>+'Tuition-2Yr'!Y22+'State Appropriations-2Yr'!Y22+'Local Appropriations-2Yr'!Y22+'Fed Contracts Grnts-2Yr'!Y22+'Other Contracts Grnts-2Yr'!Y22+'Investment Income-2Yr'!Y22+'All Other E&amp;G-2Yr'!Y22</f>
        <v>103206.894</v>
      </c>
      <c r="Z22" s="91">
        <f>+'Tuition-2Yr'!Z22+'State Appropriations-2Yr'!Z22+'Local Appropriations-2Yr'!Z22+'Fed Contracts Grnts-2Yr'!Z22+'Other Contracts Grnts-2Yr'!Z22+'Investment Income-2Yr'!Z22+'All Other E&amp;G-2Yr'!Z22</f>
        <v>112210.05099999999</v>
      </c>
      <c r="AA22" s="91">
        <f>+'Tuition-2Yr'!AA22+'State Appropriations-2Yr'!AA22+'Local Appropriations-2Yr'!AA22+'Fed Contracts Grnts-2Yr'!AA22+'Other Contracts Grnts-2Yr'!AA22+'Investment Income-2Yr'!AA22+'All Other E&amp;G-2Yr'!AA22</f>
        <v>143792.37</v>
      </c>
      <c r="AB22" s="91">
        <f>+'Tuition-2Yr'!AB22+'State Appropriations-2Yr'!AB22+'Local Appropriations-2Yr'!AB22+'Fed Contracts Grnts-2Yr'!AB22+'Other Contracts Grnts-2Yr'!AB22+'Investment Income-2Yr'!AB22+'All Other E&amp;G-2Yr'!AB22</f>
        <v>206962.66199999998</v>
      </c>
      <c r="AC22" s="91">
        <f>+'Tuition-2Yr'!AC22+'State Appropriations-2Yr'!AC22+'Local Appropriations-2Yr'!AC22+'Fed Contracts Grnts-2Yr'!AC22+'Other Contracts Grnts-2Yr'!AC22+'Investment Income-2Yr'!AC22+'All Other E&amp;G-2Yr'!AC22</f>
        <v>219602</v>
      </c>
      <c r="AD22" s="91">
        <f>+'Tuition-2Yr'!AD22+'State Appropriations-2Yr'!AD22+'Local Appropriations-2Yr'!AD22+'Fed Contracts Grnts-2Yr'!AD22+'Other Contracts Grnts-2Yr'!AD22+'Investment Income-2Yr'!AD22+'All Other E&amp;G-2Yr'!AD22</f>
        <v>239615.41299999997</v>
      </c>
      <c r="AE22" s="91">
        <f>+'Tuition-2Yr'!AE22+'State Appropriations-2Yr'!AE22+'Local Appropriations-2Yr'!AE22+'Fed Contracts Grnts-2Yr'!AE22+'Other Contracts Grnts-2Yr'!AE22+'Investment Income-2Yr'!AE22+'All Other E&amp;G-2Yr'!AE22</f>
        <v>225427.70599999998</v>
      </c>
      <c r="AF22" s="91">
        <f>+'Tuition-2Yr'!AF22+'State Appropriations-2Yr'!AF22+'Local Appropriations-2Yr'!AF22+'Fed Contracts Grnts-2Yr'!AF22+'Other Contracts Grnts-2Yr'!AF22+'Investment Income-2Yr'!AF22+'All Other E&amp;G-2Yr'!AF22</f>
        <v>207178.81599999999</v>
      </c>
      <c r="AG22" s="91">
        <f>+'Tuition-2Yr'!AG22+'State Appropriations-2Yr'!AG22+'Local Appropriations-2Yr'!AG22+'Fed Contracts Grnts-2Yr'!AG22+'Other Contracts Grnts-2Yr'!AG22+'Investment Income-2Yr'!AG22+'All Other E&amp;G-2Yr'!AG22</f>
        <v>196189.976</v>
      </c>
      <c r="AH22" s="91">
        <f>+'Tuition-2Yr'!AH22+'State Appropriations-2Yr'!AH22+'Local Appropriations-2Yr'!AH22+'Fed Contracts Grnts-2Yr'!AH22+'Other Contracts Grnts-2Yr'!AH22+'Investment Income-2Yr'!AH22+'All Other E&amp;G-2Yr'!AH22</f>
        <v>195639.386</v>
      </c>
      <c r="AI22" s="91">
        <f>+'Tuition-2Yr'!AI22+'State Appropriations-2Yr'!AI22+'Local Appropriations-2Yr'!AI22+'Fed Contracts Grnts-2Yr'!AI22+'Other Contracts Grnts-2Yr'!AI22+'Investment Income-2Yr'!AI22+'All Other E&amp;G-2Yr'!AI22</f>
        <v>201043.98199999999</v>
      </c>
      <c r="AJ22" s="91">
        <f>+'Tuition-2Yr'!AJ22+'State Appropriations-2Yr'!AJ22+'Local Appropriations-2Yr'!AJ22+'Fed Contracts Grnts-2Yr'!AJ22+'Other Contracts Grnts-2Yr'!AJ22+'Investment Income-2Yr'!AJ22+'All Other E&amp;G-2Yr'!AJ22</f>
        <v>0</v>
      </c>
      <c r="AK22" s="91">
        <f>+'Tuition-2Yr'!AK22+'State Appropriations-2Yr'!AK22+'Local Appropriations-2Yr'!AK22+'Fed Contracts Grnts-2Yr'!AK22+'Other Contracts Grnts-2Yr'!AK22+'Investment Income-2Yr'!AK22+'All Other E&amp;G-2Yr'!AK22</f>
        <v>192176.56499999997</v>
      </c>
    </row>
    <row r="23" spans="1:37" ht="12.75" customHeight="1">
      <c r="A23" s="6" t="s">
        <v>37</v>
      </c>
      <c r="B23" s="90">
        <f>+'Tuition-2Yr'!B23+'State Appropriations-2Yr'!B23+'Local Appropriations-2Yr'!B23+'Fed Contracts Grnts-2Yr'!B23+'Other Contracts Grnts-2Yr'!B23+'Investment Income-2Yr'!B23+'All Other E&amp;G-2Yr'!B23</f>
        <v>0</v>
      </c>
      <c r="C23" s="90">
        <f>+'Tuition-2Yr'!C23+'State Appropriations-2Yr'!C23+'Local Appropriations-2Yr'!C23+'Fed Contracts Grnts-2Yr'!C23+'Other Contracts Grnts-2Yr'!C23+'Investment Income-2Yr'!C23+'All Other E&amp;G-2Yr'!C23</f>
        <v>0</v>
      </c>
      <c r="D23" s="90">
        <f>+'Tuition-2Yr'!D23+'State Appropriations-2Yr'!D23+'Local Appropriations-2Yr'!D23+'Fed Contracts Grnts-2Yr'!D23+'Other Contracts Grnts-2Yr'!D23+'Investment Income-2Yr'!D23+'All Other E&amp;G-2Yr'!D23</f>
        <v>0</v>
      </c>
      <c r="E23" s="90">
        <f>+'Tuition-2Yr'!E23+'State Appropriations-2Yr'!E23+'Local Appropriations-2Yr'!E23+'Fed Contracts Grnts-2Yr'!E23+'Other Contracts Grnts-2Yr'!E23+'Investment Income-2Yr'!E23+'All Other E&amp;G-2Yr'!E23</f>
        <v>0</v>
      </c>
      <c r="F23" s="90">
        <f>+'Tuition-2Yr'!F23+'State Appropriations-2Yr'!F23+'Local Appropriations-2Yr'!F23+'Fed Contracts Grnts-2Yr'!F23+'Other Contracts Grnts-2Yr'!F23+'Investment Income-2Yr'!F23+'All Other E&amp;G-2Yr'!F23</f>
        <v>0</v>
      </c>
      <c r="G23" s="90">
        <f>+'Tuition-2Yr'!G23+'State Appropriations-2Yr'!G23+'Local Appropriations-2Yr'!G23+'Fed Contracts Grnts-2Yr'!G23+'Other Contracts Grnts-2Yr'!G23+'Investment Income-2Yr'!G23+'All Other E&amp;G-2Yr'!G23</f>
        <v>0</v>
      </c>
      <c r="H23" s="90">
        <f>+'Tuition-2Yr'!H23+'State Appropriations-2Yr'!H23+'Local Appropriations-2Yr'!H23+'Fed Contracts Grnts-2Yr'!H23+'Other Contracts Grnts-2Yr'!H23+'Investment Income-2Yr'!H23+'All Other E&amp;G-2Yr'!H23</f>
        <v>0</v>
      </c>
      <c r="I23" s="90">
        <f>+'Tuition-2Yr'!I23+'State Appropriations-2Yr'!I23+'Local Appropriations-2Yr'!I23+'Fed Contracts Grnts-2Yr'!I23+'Other Contracts Grnts-2Yr'!I23+'Investment Income-2Yr'!I23+'All Other E&amp;G-2Yr'!I23</f>
        <v>0</v>
      </c>
      <c r="J23" s="90">
        <f>+'Tuition-2Yr'!J23+'State Appropriations-2Yr'!J23+'Local Appropriations-2Yr'!J23+'Fed Contracts Grnts-2Yr'!J23+'Other Contracts Grnts-2Yr'!J23+'Investment Income-2Yr'!J23+'All Other E&amp;G-2Yr'!J23</f>
        <v>5452487.7419999996</v>
      </c>
      <c r="K23" s="90">
        <f>+'Tuition-2Yr'!K23+'State Appropriations-2Yr'!K23+'Local Appropriations-2Yr'!K23+'Fed Contracts Grnts-2Yr'!K23+'Other Contracts Grnts-2Yr'!K23+'Investment Income-2Yr'!K23+'All Other E&amp;G-2Yr'!K23</f>
        <v>0</v>
      </c>
      <c r="L23" s="90">
        <f>+'Tuition-2Yr'!L23+'State Appropriations-2Yr'!L23+'Local Appropriations-2Yr'!L23+'Fed Contracts Grnts-2Yr'!L23+'Other Contracts Grnts-2Yr'!L23+'Investment Income-2Yr'!L23+'All Other E&amp;G-2Yr'!L23</f>
        <v>0</v>
      </c>
      <c r="M23" s="90">
        <f>+'Tuition-2Yr'!M23+'State Appropriations-2Yr'!M23+'Local Appropriations-2Yr'!M23+'Fed Contracts Grnts-2Yr'!M23+'Other Contracts Grnts-2Yr'!M23+'Investment Income-2Yr'!M23+'All Other E&amp;G-2Yr'!M23</f>
        <v>5983536.8940000003</v>
      </c>
      <c r="N23" s="90">
        <f>+'Tuition-2Yr'!N23+'State Appropriations-2Yr'!N23+'Local Appropriations-2Yr'!N23+'Fed Contracts Grnts-2Yr'!N23+'Other Contracts Grnts-2Yr'!N23+'Investment Income-2Yr'!N23+'All Other E&amp;G-2Yr'!N23</f>
        <v>0</v>
      </c>
      <c r="O23" s="90">
        <f>+'Tuition-2Yr'!O23+'State Appropriations-2Yr'!O23+'Local Appropriations-2Yr'!O23+'Fed Contracts Grnts-2Yr'!O23+'Other Contracts Grnts-2Yr'!O23+'Investment Income-2Yr'!O23+'All Other E&amp;G-2Yr'!O23</f>
        <v>7259180.4621299999</v>
      </c>
      <c r="P23" s="90">
        <f>+'Tuition-2Yr'!P23+'State Appropriations-2Yr'!P23+'Local Appropriations-2Yr'!P23+'Fed Contracts Grnts-2Yr'!P23+'Other Contracts Grnts-2Yr'!P23+'Investment Income-2Yr'!P23+'All Other E&amp;G-2Yr'!P23</f>
        <v>0</v>
      </c>
      <c r="Q23" s="90">
        <f>+'Tuition-2Yr'!Q23+'State Appropriations-2Yr'!Q23+'Local Appropriations-2Yr'!Q23+'Fed Contracts Grnts-2Yr'!Q23+'Other Contracts Grnts-2Yr'!Q23+'Investment Income-2Yr'!Q23+'All Other E&amp;G-2Yr'!Q23</f>
        <v>0</v>
      </c>
      <c r="R23" s="90">
        <f>+'Tuition-2Yr'!R23+'State Appropriations-2Yr'!R23+'Local Appropriations-2Yr'!R23+'Fed Contracts Grnts-2Yr'!R23+'Other Contracts Grnts-2Yr'!R23+'Investment Income-2Yr'!R23+'All Other E&amp;G-2Yr'!R23</f>
        <v>7361464.4110000012</v>
      </c>
      <c r="S23" s="90">
        <f>+'Tuition-2Yr'!S23+'State Appropriations-2Yr'!S23+'Local Appropriations-2Yr'!S23+'Fed Contracts Grnts-2Yr'!S23+'Other Contracts Grnts-2Yr'!S23+'Investment Income-2Yr'!S23+'All Other E&amp;G-2Yr'!S23</f>
        <v>8597464.2509999983</v>
      </c>
      <c r="T23" s="90">
        <f>+'Tuition-2Yr'!T23+'State Appropriations-2Yr'!T23+'Local Appropriations-2Yr'!T23+'Fed Contracts Grnts-2Yr'!T23+'Other Contracts Grnts-2Yr'!T23+'Investment Income-2Yr'!T23+'All Other E&amp;G-2Yr'!T23</f>
        <v>8860285.3469999991</v>
      </c>
      <c r="U23" s="90">
        <f>+'Tuition-2Yr'!U23+'State Appropriations-2Yr'!U23+'Local Appropriations-2Yr'!U23+'Fed Contracts Grnts-2Yr'!U23+'Other Contracts Grnts-2Yr'!U23+'Investment Income-2Yr'!U23+'All Other E&amp;G-2Yr'!U23</f>
        <v>8833606.477</v>
      </c>
      <c r="V23" s="90">
        <f>+'Tuition-2Yr'!V23+'State Appropriations-2Yr'!V23+'Local Appropriations-2Yr'!V23+'Fed Contracts Grnts-2Yr'!V23+'Other Contracts Grnts-2Yr'!V23+'Investment Income-2Yr'!V23+'All Other E&amp;G-2Yr'!V23</f>
        <v>9134696.436999999</v>
      </c>
      <c r="W23" s="90">
        <f>+'Tuition-2Yr'!W23+'State Appropriations-2Yr'!W23+'Local Appropriations-2Yr'!W23+'Fed Contracts Grnts-2Yr'!W23+'Other Contracts Grnts-2Yr'!W23+'Investment Income-2Yr'!W23+'All Other E&amp;G-2Yr'!W23</f>
        <v>11930116.678000001</v>
      </c>
      <c r="X23" s="90">
        <f>+'Tuition-2Yr'!X23+'State Appropriations-2Yr'!X23+'Local Appropriations-2Yr'!X23+'Fed Contracts Grnts-2Yr'!X23+'Other Contracts Grnts-2Yr'!X23+'Investment Income-2Yr'!X23+'All Other E&amp;G-2Yr'!X23</f>
        <v>12229986.461000001</v>
      </c>
      <c r="Y23" s="90">
        <f>+'Tuition-2Yr'!Y23+'State Appropriations-2Yr'!Y23+'Local Appropriations-2Yr'!Y23+'Fed Contracts Grnts-2Yr'!Y23+'Other Contracts Grnts-2Yr'!Y23+'Investment Income-2Yr'!Y23+'All Other E&amp;G-2Yr'!Y23</f>
        <v>13153348.823000001</v>
      </c>
      <c r="Z23" s="90">
        <f>+'Tuition-2Yr'!Z23+'State Appropriations-2Yr'!Z23+'Local Appropriations-2Yr'!Z23+'Fed Contracts Grnts-2Yr'!Z23+'Other Contracts Grnts-2Yr'!Z23+'Investment Income-2Yr'!Z23+'All Other E&amp;G-2Yr'!Z23</f>
        <v>14184298.366000002</v>
      </c>
      <c r="AA23" s="90">
        <f>+'Tuition-2Yr'!AA23+'State Appropriations-2Yr'!AA23+'Local Appropriations-2Yr'!AA23+'Fed Contracts Grnts-2Yr'!AA23+'Other Contracts Grnts-2Yr'!AA23+'Investment Income-2Yr'!AA23+'All Other E&amp;G-2Yr'!AA23</f>
        <v>16123631.979</v>
      </c>
      <c r="AB23" s="90">
        <f>+'Tuition-2Yr'!AB23+'State Appropriations-2Yr'!AB23+'Local Appropriations-2Yr'!AB23+'Fed Contracts Grnts-2Yr'!AB23+'Other Contracts Grnts-2Yr'!AB23+'Investment Income-2Yr'!AB23+'All Other E&amp;G-2Yr'!AB23</f>
        <v>17276977.794</v>
      </c>
      <c r="AC23" s="90">
        <f>+'Tuition-2Yr'!AC23+'State Appropriations-2Yr'!AC23+'Local Appropriations-2Yr'!AC23+'Fed Contracts Grnts-2Yr'!AC23+'Other Contracts Grnts-2Yr'!AC23+'Investment Income-2Yr'!AC23+'All Other E&amp;G-2Yr'!AC23</f>
        <v>18796526</v>
      </c>
      <c r="AD23" s="90">
        <f>+'Tuition-2Yr'!AD23+'State Appropriations-2Yr'!AD23+'Local Appropriations-2Yr'!AD23+'Fed Contracts Grnts-2Yr'!AD23+'Other Contracts Grnts-2Yr'!AD23+'Investment Income-2Yr'!AD23+'All Other E&amp;G-2Yr'!AD23</f>
        <v>17910552.269000001</v>
      </c>
      <c r="AE23" s="90">
        <f>+'Tuition-2Yr'!AE23+'State Appropriations-2Yr'!AE23+'Local Appropriations-2Yr'!AE23+'Fed Contracts Grnts-2Yr'!AE23+'Other Contracts Grnts-2Yr'!AE23+'Investment Income-2Yr'!AE23+'All Other E&amp;G-2Yr'!AE23</f>
        <v>18144469.123999998</v>
      </c>
      <c r="AF23" s="90">
        <f>+'Tuition-2Yr'!AF23+'State Appropriations-2Yr'!AF23+'Local Appropriations-2Yr'!AF23+'Fed Contracts Grnts-2Yr'!AF23+'Other Contracts Grnts-2Yr'!AF23+'Investment Income-2Yr'!AF23+'All Other E&amp;G-2Yr'!AF23</f>
        <v>13674606.623</v>
      </c>
      <c r="AG23" s="90">
        <f>+'Tuition-2Yr'!AG23+'State Appropriations-2Yr'!AG23+'Local Appropriations-2Yr'!AG23+'Fed Contracts Grnts-2Yr'!AG23+'Other Contracts Grnts-2Yr'!AG23+'Investment Income-2Yr'!AG23+'All Other E&amp;G-2Yr'!AG23</f>
        <v>13837361.827000001</v>
      </c>
      <c r="AH23" s="140">
        <f>+'Tuition-2Yr'!AH23+'State Appropriations-2Yr'!AH23+'Local Appropriations-2Yr'!AH23+'Fed Contracts Grnts-2Yr'!AH23+'Other Contracts Grnts-2Yr'!AH23+'Investment Income-2Yr'!AH23+'All Other E&amp;G-2Yr'!AH23</f>
        <v>20346102.557</v>
      </c>
      <c r="AI23" s="90">
        <f>+'Tuition-2Yr'!AI23+'State Appropriations-2Yr'!AI23+'Local Appropriations-2Yr'!AI23+'Fed Contracts Grnts-2Yr'!AI23+'Other Contracts Grnts-2Yr'!AI23+'Investment Income-2Yr'!AI23+'All Other E&amp;G-2Yr'!AI23</f>
        <v>20505342.756999999</v>
      </c>
      <c r="AJ23" s="90">
        <f>+'Tuition-2Yr'!AJ23+'State Appropriations-2Yr'!AJ23+'Local Appropriations-2Yr'!AJ23+'Fed Contracts Grnts-2Yr'!AJ23+'Other Contracts Grnts-2Yr'!AJ23+'Investment Income-2Yr'!AJ23+'All Other E&amp;G-2Yr'!AJ23</f>
        <v>0</v>
      </c>
      <c r="AK23" s="90">
        <f>+'Tuition-2Yr'!AK23+'State Appropriations-2Yr'!AK23+'Local Appropriations-2Yr'!AK23+'Fed Contracts Grnts-2Yr'!AK23+'Other Contracts Grnts-2Yr'!AK23+'Investment Income-2Yr'!AK23+'All Other E&amp;G-2Yr'!AK23</f>
        <v>24931768.357999999</v>
      </c>
    </row>
    <row r="24" spans="1:37" ht="12.75" customHeight="1">
      <c r="A24" s="6" t="s">
        <v>94</v>
      </c>
      <c r="B24" s="90">
        <f>+'Tuition-2Yr'!B24+'State Appropriations-2Yr'!B24+'Local Appropriations-2Yr'!B24+'Fed Contracts Grnts-2Yr'!B24+'Other Contracts Grnts-2Yr'!B24+'Investment Income-2Yr'!B24+'All Other E&amp;G-2Yr'!B24</f>
        <v>0</v>
      </c>
      <c r="C24" s="90">
        <f>+'Tuition-2Yr'!C24+'State Appropriations-2Yr'!C24+'Local Appropriations-2Yr'!C24+'Fed Contracts Grnts-2Yr'!C24+'Other Contracts Grnts-2Yr'!C24+'Investment Income-2Yr'!C24+'All Other E&amp;G-2Yr'!C24</f>
        <v>0</v>
      </c>
      <c r="D24" s="90">
        <f>+'Tuition-2Yr'!D24+'State Appropriations-2Yr'!D24+'Local Appropriations-2Yr'!D24+'Fed Contracts Grnts-2Yr'!D24+'Other Contracts Grnts-2Yr'!D24+'Investment Income-2Yr'!D24+'All Other E&amp;G-2Yr'!D24</f>
        <v>0</v>
      </c>
      <c r="E24" s="90">
        <f>+'Tuition-2Yr'!E24+'State Appropriations-2Yr'!E24+'Local Appropriations-2Yr'!E24+'Fed Contracts Grnts-2Yr'!E24+'Other Contracts Grnts-2Yr'!E24+'Investment Income-2Yr'!E24+'All Other E&amp;G-2Yr'!E24</f>
        <v>0</v>
      </c>
      <c r="F24" s="90">
        <f>+'Tuition-2Yr'!F24+'State Appropriations-2Yr'!F24+'Local Appropriations-2Yr'!F24+'Fed Contracts Grnts-2Yr'!F24+'Other Contracts Grnts-2Yr'!F24+'Investment Income-2Yr'!F24+'All Other E&amp;G-2Yr'!F24</f>
        <v>0</v>
      </c>
      <c r="G24" s="90">
        <f>+'Tuition-2Yr'!G24+'State Appropriations-2Yr'!G24+'Local Appropriations-2Yr'!G24+'Fed Contracts Grnts-2Yr'!G24+'Other Contracts Grnts-2Yr'!G24+'Investment Income-2Yr'!G24+'All Other E&amp;G-2Yr'!G24</f>
        <v>0</v>
      </c>
      <c r="H24" s="90">
        <f>+'Tuition-2Yr'!H24+'State Appropriations-2Yr'!H24+'Local Appropriations-2Yr'!H24+'Fed Contracts Grnts-2Yr'!H24+'Other Contracts Grnts-2Yr'!H24+'Investment Income-2Yr'!H24+'All Other E&amp;G-2Yr'!H24</f>
        <v>0</v>
      </c>
      <c r="I24" s="90">
        <f>+'Tuition-2Yr'!I24+'State Appropriations-2Yr'!I24+'Local Appropriations-2Yr'!I24+'Fed Contracts Grnts-2Yr'!I24+'Other Contracts Grnts-2Yr'!I24+'Investment Income-2Yr'!I24+'All Other E&amp;G-2Yr'!I24</f>
        <v>0</v>
      </c>
      <c r="J24" s="90">
        <f>+'Tuition-2Yr'!J24+'State Appropriations-2Yr'!J24+'Local Appropriations-2Yr'!J24+'Fed Contracts Grnts-2Yr'!J24+'Other Contracts Grnts-2Yr'!J24+'Investment Income-2Yr'!J24+'All Other E&amp;G-2Yr'!J24</f>
        <v>0</v>
      </c>
      <c r="K24" s="90">
        <f>+'Tuition-2Yr'!K24+'State Appropriations-2Yr'!K24+'Local Appropriations-2Yr'!K24+'Fed Contracts Grnts-2Yr'!K24+'Other Contracts Grnts-2Yr'!K24+'Investment Income-2Yr'!K24+'All Other E&amp;G-2Yr'!K24</f>
        <v>0</v>
      </c>
      <c r="L24" s="90">
        <f>+'Tuition-2Yr'!L24+'State Appropriations-2Yr'!L24+'Local Appropriations-2Yr'!L24+'Fed Contracts Grnts-2Yr'!L24+'Other Contracts Grnts-2Yr'!L24+'Investment Income-2Yr'!L24+'All Other E&amp;G-2Yr'!L24</f>
        <v>0</v>
      </c>
      <c r="M24" s="90">
        <f>+'Tuition-2Yr'!M24+'State Appropriations-2Yr'!M24+'Local Appropriations-2Yr'!M24+'Fed Contracts Grnts-2Yr'!M24+'Other Contracts Grnts-2Yr'!M24+'Investment Income-2Yr'!M24+'All Other E&amp;G-2Yr'!M24</f>
        <v>0</v>
      </c>
      <c r="N24" s="90">
        <f>+'Tuition-2Yr'!N24+'State Appropriations-2Yr'!N24+'Local Appropriations-2Yr'!N24+'Fed Contracts Grnts-2Yr'!N24+'Other Contracts Grnts-2Yr'!N24+'Investment Income-2Yr'!N24+'All Other E&amp;G-2Yr'!N24</f>
        <v>0</v>
      </c>
      <c r="O24" s="90">
        <f>+'Tuition-2Yr'!O24+'State Appropriations-2Yr'!O24+'Local Appropriations-2Yr'!O24+'Fed Contracts Grnts-2Yr'!O24+'Other Contracts Grnts-2Yr'!O24+'Investment Income-2Yr'!O24+'All Other E&amp;G-2Yr'!O24</f>
        <v>0</v>
      </c>
      <c r="P24" s="90">
        <f>+'Tuition-2Yr'!P24+'State Appropriations-2Yr'!P24+'Local Appropriations-2Yr'!P24+'Fed Contracts Grnts-2Yr'!P24+'Other Contracts Grnts-2Yr'!P24+'Investment Income-2Yr'!P24+'All Other E&amp;G-2Yr'!P24</f>
        <v>0</v>
      </c>
      <c r="Q24" s="90">
        <f>+'Tuition-2Yr'!Q24+'State Appropriations-2Yr'!Q24+'Local Appropriations-2Yr'!Q24+'Fed Contracts Grnts-2Yr'!Q24+'Other Contracts Grnts-2Yr'!Q24+'Investment Income-2Yr'!Q24+'All Other E&amp;G-2Yr'!Q24</f>
        <v>0</v>
      </c>
      <c r="R24" s="90">
        <f>+'Tuition-2Yr'!R24+'State Appropriations-2Yr'!R24+'Local Appropriations-2Yr'!R24+'Fed Contracts Grnts-2Yr'!R24+'Other Contracts Grnts-2Yr'!R24+'Investment Income-2Yr'!R24+'All Other E&amp;G-2Yr'!R24</f>
        <v>0</v>
      </c>
      <c r="S24" s="90">
        <f>+'Tuition-2Yr'!S24+'State Appropriations-2Yr'!S24+'Local Appropriations-2Yr'!S24+'Fed Contracts Grnts-2Yr'!S24+'Other Contracts Grnts-2Yr'!S24+'Investment Income-2Yr'!S24+'All Other E&amp;G-2Yr'!S24</f>
        <v>0</v>
      </c>
      <c r="T24" s="90">
        <f>+'Tuition-2Yr'!T24+'State Appropriations-2Yr'!T24+'Local Appropriations-2Yr'!T24+'Fed Contracts Grnts-2Yr'!T24+'Other Contracts Grnts-2Yr'!T24+'Investment Income-2Yr'!T24+'All Other E&amp;G-2Yr'!T24</f>
        <v>0</v>
      </c>
      <c r="U24" s="90">
        <f>+'Tuition-2Yr'!U24+'State Appropriations-2Yr'!U24+'Local Appropriations-2Yr'!U24+'Fed Contracts Grnts-2Yr'!U24+'Other Contracts Grnts-2Yr'!U24+'Investment Income-2Yr'!U24+'All Other E&amp;G-2Yr'!U24</f>
        <v>0</v>
      </c>
      <c r="V24" s="90">
        <f>+'Tuition-2Yr'!V24+'State Appropriations-2Yr'!V24+'Local Appropriations-2Yr'!V24+'Fed Contracts Grnts-2Yr'!V24+'Other Contracts Grnts-2Yr'!V24+'Investment Income-2Yr'!V24+'All Other E&amp;G-2Yr'!V24</f>
        <v>0</v>
      </c>
      <c r="W24" s="90">
        <f>+'Tuition-2Yr'!W24+'State Appropriations-2Yr'!W24+'Local Appropriations-2Yr'!W24+'Fed Contracts Grnts-2Yr'!W24+'Other Contracts Grnts-2Yr'!W24+'Investment Income-2Yr'!W24+'All Other E&amp;G-2Yr'!W24</f>
        <v>0</v>
      </c>
      <c r="X24" s="90">
        <f>+'Tuition-2Yr'!X24+'State Appropriations-2Yr'!X24+'Local Appropriations-2Yr'!X24+'Fed Contracts Grnts-2Yr'!X24+'Other Contracts Grnts-2Yr'!X24+'Investment Income-2Yr'!X24+'All Other E&amp;G-2Yr'!X24</f>
        <v>0</v>
      </c>
      <c r="Y24" s="90">
        <f>+'Tuition-2Yr'!Y24+'State Appropriations-2Yr'!Y24+'Local Appropriations-2Yr'!Y24+'Fed Contracts Grnts-2Yr'!Y24+'Other Contracts Grnts-2Yr'!Y24+'Investment Income-2Yr'!Y24+'All Other E&amp;G-2Yr'!Y24</f>
        <v>0</v>
      </c>
      <c r="Z24" s="90">
        <f>+'Tuition-2Yr'!Z24+'State Appropriations-2Yr'!Z24+'Local Appropriations-2Yr'!Z24+'Fed Contracts Grnts-2Yr'!Z24+'Other Contracts Grnts-2Yr'!Z24+'Investment Income-2Yr'!Z24+'All Other E&amp;G-2Yr'!Z24</f>
        <v>0</v>
      </c>
      <c r="AA24" s="90">
        <f>+'Tuition-2Yr'!AA24+'State Appropriations-2Yr'!AA24+'Local Appropriations-2Yr'!AA24+'Fed Contracts Grnts-2Yr'!AA24+'Other Contracts Grnts-2Yr'!AA24+'Investment Income-2Yr'!AA24+'All Other E&amp;G-2Yr'!AA24</f>
        <v>0</v>
      </c>
      <c r="AB24" s="90">
        <f>+'Tuition-2Yr'!AB24+'State Appropriations-2Yr'!AB24+'Local Appropriations-2Yr'!AB24+'Fed Contracts Grnts-2Yr'!AB24+'Other Contracts Grnts-2Yr'!AB24+'Investment Income-2Yr'!AB24+'All Other E&amp;G-2Yr'!AB24</f>
        <v>0</v>
      </c>
      <c r="AC24" s="90">
        <f>+'Tuition-2Yr'!AC24+'State Appropriations-2Yr'!AC24+'Local Appropriations-2Yr'!AC24+'Fed Contracts Grnts-2Yr'!AC24+'Other Contracts Grnts-2Yr'!AC24+'Investment Income-2Yr'!AC24+'All Other E&amp;G-2Yr'!AC24</f>
        <v>0</v>
      </c>
      <c r="AD24" s="90">
        <f>+'Tuition-2Yr'!AD24+'State Appropriations-2Yr'!AD24+'Local Appropriations-2Yr'!AD24+'Fed Contracts Grnts-2Yr'!AD24+'Other Contracts Grnts-2Yr'!AD24+'Investment Income-2Yr'!AD24+'All Other E&amp;G-2Yr'!AD24</f>
        <v>0</v>
      </c>
      <c r="AE24" s="90">
        <f>+'Tuition-2Yr'!AE24+'State Appropriations-2Yr'!AE24+'Local Appropriations-2Yr'!AE24+'Fed Contracts Grnts-2Yr'!AE24+'Other Contracts Grnts-2Yr'!AE24+'Investment Income-2Yr'!AE24+'All Other E&amp;G-2Yr'!AE24</f>
        <v>0</v>
      </c>
      <c r="AF24" s="90">
        <f>+'Tuition-2Yr'!AF24+'State Appropriations-2Yr'!AF24+'Local Appropriations-2Yr'!AF24+'Fed Contracts Grnts-2Yr'!AF24+'Other Contracts Grnts-2Yr'!AF24+'Investment Income-2Yr'!AF24+'All Other E&amp;G-2Yr'!AF24</f>
        <v>0</v>
      </c>
      <c r="AG24" s="90">
        <f>+'Tuition-2Yr'!AG24+'State Appropriations-2Yr'!AG24+'Local Appropriations-2Yr'!AG24+'Fed Contracts Grnts-2Yr'!AG24+'Other Contracts Grnts-2Yr'!AG24+'Investment Income-2Yr'!AG24+'All Other E&amp;G-2Yr'!AG24</f>
        <v>0</v>
      </c>
      <c r="AH24" s="90">
        <f>+'Tuition-2Yr'!AH24+'State Appropriations-2Yr'!AH24+'Local Appropriations-2Yr'!AH24+'Fed Contracts Grnts-2Yr'!AH24+'Other Contracts Grnts-2Yr'!AH24+'Investment Income-2Yr'!AH24+'All Other E&amp;G-2Yr'!AH24</f>
        <v>0</v>
      </c>
      <c r="AI24" s="90">
        <f>+'Tuition-2Yr'!AI24+'State Appropriations-2Yr'!AI24+'Local Appropriations-2Yr'!AI24+'Fed Contracts Grnts-2Yr'!AI24+'Other Contracts Grnts-2Yr'!AI24+'Investment Income-2Yr'!AI24+'All Other E&amp;G-2Yr'!AI24</f>
        <v>0</v>
      </c>
      <c r="AJ24" s="90">
        <f>+'Tuition-2Yr'!AJ24+'State Appropriations-2Yr'!AJ24+'Local Appropriations-2Yr'!AJ24+'Fed Contracts Grnts-2Yr'!AJ24+'Other Contracts Grnts-2Yr'!AJ24+'Investment Income-2Yr'!AJ24+'All Other E&amp;G-2Yr'!AJ24</f>
        <v>0</v>
      </c>
      <c r="AK24" s="90">
        <f>+'Tuition-2Yr'!AK24+'State Appropriations-2Yr'!AK24+'Local Appropriations-2Yr'!AK24+'Fed Contracts Grnts-2Yr'!AK24+'Other Contracts Grnts-2Yr'!AK24+'Investment Income-2Yr'!AK24+'All Other E&amp;G-2Yr'!AK24</f>
        <v>0</v>
      </c>
    </row>
    <row r="25" spans="1:37" ht="12.75" customHeight="1">
      <c r="A25" s="1" t="s">
        <v>38</v>
      </c>
      <c r="B25" s="90">
        <f>+'Tuition-2Yr'!B25+'State Appropriations-2Yr'!B25+'Local Appropriations-2Yr'!B25+'Fed Contracts Grnts-2Yr'!B25+'Other Contracts Grnts-2Yr'!B25+'Investment Income-2Yr'!B25+'All Other E&amp;G-2Yr'!B25</f>
        <v>0</v>
      </c>
      <c r="C25" s="90">
        <f>+'Tuition-2Yr'!C25+'State Appropriations-2Yr'!C25+'Local Appropriations-2Yr'!C25+'Fed Contracts Grnts-2Yr'!C25+'Other Contracts Grnts-2Yr'!C25+'Investment Income-2Yr'!C25+'All Other E&amp;G-2Yr'!C25</f>
        <v>0</v>
      </c>
      <c r="D25" s="90">
        <f>+'Tuition-2Yr'!D25+'State Appropriations-2Yr'!D25+'Local Appropriations-2Yr'!D25+'Fed Contracts Grnts-2Yr'!D25+'Other Contracts Grnts-2Yr'!D25+'Investment Income-2Yr'!D25+'All Other E&amp;G-2Yr'!D25</f>
        <v>0</v>
      </c>
      <c r="E25" s="90">
        <f>+'Tuition-2Yr'!E25+'State Appropriations-2Yr'!E25+'Local Appropriations-2Yr'!E25+'Fed Contracts Grnts-2Yr'!E25+'Other Contracts Grnts-2Yr'!E25+'Investment Income-2Yr'!E25+'All Other E&amp;G-2Yr'!E25</f>
        <v>0</v>
      </c>
      <c r="F25" s="90">
        <f>+'Tuition-2Yr'!F25+'State Appropriations-2Yr'!F25+'Local Appropriations-2Yr'!F25+'Fed Contracts Grnts-2Yr'!F25+'Other Contracts Grnts-2Yr'!F25+'Investment Income-2Yr'!F25+'All Other E&amp;G-2Yr'!F25</f>
        <v>0</v>
      </c>
      <c r="G25" s="90">
        <f>+'Tuition-2Yr'!G25+'State Appropriations-2Yr'!G25+'Local Appropriations-2Yr'!G25+'Fed Contracts Grnts-2Yr'!G25+'Other Contracts Grnts-2Yr'!G25+'Investment Income-2Yr'!G25+'All Other E&amp;G-2Yr'!G25</f>
        <v>0</v>
      </c>
      <c r="H25" s="90">
        <f>+'Tuition-2Yr'!H25+'State Appropriations-2Yr'!H25+'Local Appropriations-2Yr'!H25+'Fed Contracts Grnts-2Yr'!H25+'Other Contracts Grnts-2Yr'!H25+'Investment Income-2Yr'!H25+'All Other E&amp;G-2Yr'!H25</f>
        <v>0</v>
      </c>
      <c r="I25" s="90">
        <f>+'Tuition-2Yr'!I25+'State Appropriations-2Yr'!I25+'Local Appropriations-2Yr'!I25+'Fed Contracts Grnts-2Yr'!I25+'Other Contracts Grnts-2Yr'!I25+'Investment Income-2Yr'!I25+'All Other E&amp;G-2Yr'!I25</f>
        <v>0</v>
      </c>
      <c r="J25" s="90">
        <f>+'Tuition-2Yr'!J25+'State Appropriations-2Yr'!J25+'Local Appropriations-2Yr'!J25+'Fed Contracts Grnts-2Yr'!J25+'Other Contracts Grnts-2Yr'!J25+'Investment Income-2Yr'!J25+'All Other E&amp;G-2Yr'!J25</f>
        <v>2614.5329999999999</v>
      </c>
      <c r="K25" s="90">
        <f>+'Tuition-2Yr'!K25+'State Appropriations-2Yr'!K25+'Local Appropriations-2Yr'!K25+'Fed Contracts Grnts-2Yr'!K25+'Other Contracts Grnts-2Yr'!K25+'Investment Income-2Yr'!K25+'All Other E&amp;G-2Yr'!K25</f>
        <v>0</v>
      </c>
      <c r="L25" s="90">
        <f>+'Tuition-2Yr'!L25+'State Appropriations-2Yr'!L25+'Local Appropriations-2Yr'!L25+'Fed Contracts Grnts-2Yr'!L25+'Other Contracts Grnts-2Yr'!L25+'Investment Income-2Yr'!L25+'All Other E&amp;G-2Yr'!L25</f>
        <v>0</v>
      </c>
      <c r="M25" s="90">
        <f>+'Tuition-2Yr'!M25+'State Appropriations-2Yr'!M25+'Local Appropriations-2Yr'!M25+'Fed Contracts Grnts-2Yr'!M25+'Other Contracts Grnts-2Yr'!M25+'Investment Income-2Yr'!M25+'All Other E&amp;G-2Yr'!M25</f>
        <v>3272.1200000000003</v>
      </c>
      <c r="N25" s="90">
        <f>+'Tuition-2Yr'!N25+'State Appropriations-2Yr'!N25+'Local Appropriations-2Yr'!N25+'Fed Contracts Grnts-2Yr'!N25+'Other Contracts Grnts-2Yr'!N25+'Investment Income-2Yr'!N25+'All Other E&amp;G-2Yr'!N25</f>
        <v>0</v>
      </c>
      <c r="O25" s="90">
        <f>+'Tuition-2Yr'!O25+'State Appropriations-2Yr'!O25+'Local Appropriations-2Yr'!O25+'Fed Contracts Grnts-2Yr'!O25+'Other Contracts Grnts-2Yr'!O25+'Investment Income-2Yr'!O25+'All Other E&amp;G-2Yr'!O25</f>
        <v>3779.2739999999999</v>
      </c>
      <c r="P25" s="90">
        <f>+'Tuition-2Yr'!P25+'State Appropriations-2Yr'!P25+'Local Appropriations-2Yr'!P25+'Fed Contracts Grnts-2Yr'!P25+'Other Contracts Grnts-2Yr'!P25+'Investment Income-2Yr'!P25+'All Other E&amp;G-2Yr'!P25</f>
        <v>0</v>
      </c>
      <c r="Q25" s="90">
        <f>+'Tuition-2Yr'!Q25+'State Appropriations-2Yr'!Q25+'Local Appropriations-2Yr'!Q25+'Fed Contracts Grnts-2Yr'!Q25+'Other Contracts Grnts-2Yr'!Q25+'Investment Income-2Yr'!Q25+'All Other E&amp;G-2Yr'!Q25</f>
        <v>0</v>
      </c>
      <c r="R25" s="90">
        <f>+'Tuition-2Yr'!R25+'State Appropriations-2Yr'!R25+'Local Appropriations-2Yr'!R25+'Fed Contracts Grnts-2Yr'!R25+'Other Contracts Grnts-2Yr'!R25+'Investment Income-2Yr'!R25+'All Other E&amp;G-2Yr'!R25</f>
        <v>15186.486999999999</v>
      </c>
      <c r="S25" s="90">
        <f>+'Tuition-2Yr'!S25+'State Appropriations-2Yr'!S25+'Local Appropriations-2Yr'!S25+'Fed Contracts Grnts-2Yr'!S25+'Other Contracts Grnts-2Yr'!S25+'Investment Income-2Yr'!S25+'All Other E&amp;G-2Yr'!S25</f>
        <v>3689.9789999999998</v>
      </c>
      <c r="T25" s="90">
        <f>+'Tuition-2Yr'!T25+'State Appropriations-2Yr'!T25+'Local Appropriations-2Yr'!T25+'Fed Contracts Grnts-2Yr'!T25+'Other Contracts Grnts-2Yr'!T25+'Investment Income-2Yr'!T25+'All Other E&amp;G-2Yr'!T25</f>
        <v>16749.819</v>
      </c>
      <c r="U25" s="90">
        <f>+'Tuition-2Yr'!U25+'State Appropriations-2Yr'!U25+'Local Appropriations-2Yr'!U25+'Fed Contracts Grnts-2Yr'!U25+'Other Contracts Grnts-2Yr'!U25+'Investment Income-2Yr'!U25+'All Other E&amp;G-2Yr'!U25</f>
        <v>15151.851000000001</v>
      </c>
      <c r="V25" s="90">
        <f>+'Tuition-2Yr'!V25+'State Appropriations-2Yr'!V25+'Local Appropriations-2Yr'!V25+'Fed Contracts Grnts-2Yr'!V25+'Other Contracts Grnts-2Yr'!V25+'Investment Income-2Yr'!V25+'All Other E&amp;G-2Yr'!V25</f>
        <v>15567.792000000001</v>
      </c>
      <c r="W25" s="90">
        <f>+'Tuition-2Yr'!W25+'State Appropriations-2Yr'!W25+'Local Appropriations-2Yr'!W25+'Fed Contracts Grnts-2Yr'!W25+'Other Contracts Grnts-2Yr'!W25+'Investment Income-2Yr'!W25+'All Other E&amp;G-2Yr'!W25</f>
        <v>4421.4929999999995</v>
      </c>
      <c r="X25" s="90">
        <f>+'Tuition-2Yr'!X25+'State Appropriations-2Yr'!X25+'Local Appropriations-2Yr'!X25+'Fed Contracts Grnts-2Yr'!X25+'Other Contracts Grnts-2Yr'!X25+'Investment Income-2Yr'!X25+'All Other E&amp;G-2Yr'!X25</f>
        <v>14556.599999999999</v>
      </c>
      <c r="Y25" s="90">
        <f>+'Tuition-2Yr'!Y25+'State Appropriations-2Yr'!Y25+'Local Appropriations-2Yr'!Y25+'Fed Contracts Grnts-2Yr'!Y25+'Other Contracts Grnts-2Yr'!Y25+'Investment Income-2Yr'!Y25+'All Other E&amp;G-2Yr'!Y25</f>
        <v>15480.078999999998</v>
      </c>
      <c r="Z25" s="90">
        <f>+'Tuition-2Yr'!Z25+'State Appropriations-2Yr'!Z25+'Local Appropriations-2Yr'!Z25+'Fed Contracts Grnts-2Yr'!Z25+'Other Contracts Grnts-2Yr'!Z25+'Investment Income-2Yr'!Z25+'All Other E&amp;G-2Yr'!Z25</f>
        <v>16933.108000000004</v>
      </c>
      <c r="AA25" s="90">
        <f>+'Tuition-2Yr'!AA25+'State Appropriations-2Yr'!AA25+'Local Appropriations-2Yr'!AA25+'Fed Contracts Grnts-2Yr'!AA25+'Other Contracts Grnts-2Yr'!AA25+'Investment Income-2Yr'!AA25+'All Other E&amp;G-2Yr'!AA25</f>
        <v>17920.691999999999</v>
      </c>
      <c r="AB25" s="90">
        <f>+'Tuition-2Yr'!AB25+'State Appropriations-2Yr'!AB25+'Local Appropriations-2Yr'!AB25+'Fed Contracts Grnts-2Yr'!AB25+'Other Contracts Grnts-2Yr'!AB25+'Investment Income-2Yr'!AB25+'All Other E&amp;G-2Yr'!AB25</f>
        <v>18885.399000000001</v>
      </c>
      <c r="AC25" s="90">
        <f>+'Tuition-2Yr'!AC25+'State Appropriations-2Yr'!AC25+'Local Appropriations-2Yr'!AC25+'Fed Contracts Grnts-2Yr'!AC25+'Other Contracts Grnts-2Yr'!AC25+'Investment Income-2Yr'!AC25+'All Other E&amp;G-2Yr'!AC25</f>
        <v>6239</v>
      </c>
      <c r="AD25" s="90">
        <f>+'Tuition-2Yr'!AD25+'State Appropriations-2Yr'!AD25+'Local Appropriations-2Yr'!AD25+'Fed Contracts Grnts-2Yr'!AD25+'Other Contracts Grnts-2Yr'!AD25+'Investment Income-2Yr'!AD25+'All Other E&amp;G-2Yr'!AD25</f>
        <v>21978.303</v>
      </c>
      <c r="AE25" s="90">
        <f>+'Tuition-2Yr'!AE25+'State Appropriations-2Yr'!AE25+'Local Appropriations-2Yr'!AE25+'Fed Contracts Grnts-2Yr'!AE25+'Other Contracts Grnts-2Yr'!AE25+'Investment Income-2Yr'!AE25+'All Other E&amp;G-2Yr'!AE25</f>
        <v>36664.372000000003</v>
      </c>
      <c r="AF25" s="90">
        <f>+'Tuition-2Yr'!AF25+'State Appropriations-2Yr'!AF25+'Local Appropriations-2Yr'!AF25+'Fed Contracts Grnts-2Yr'!AF25+'Other Contracts Grnts-2Yr'!AF25+'Investment Income-2Yr'!AF25+'All Other E&amp;G-2Yr'!AF25</f>
        <v>0</v>
      </c>
      <c r="AG25" s="90">
        <f>+'Tuition-2Yr'!AG25+'State Appropriations-2Yr'!AG25+'Local Appropriations-2Yr'!AG25+'Fed Contracts Grnts-2Yr'!AG25+'Other Contracts Grnts-2Yr'!AG25+'Investment Income-2Yr'!AG25+'All Other E&amp;G-2Yr'!AG25</f>
        <v>0</v>
      </c>
      <c r="AH25" s="90">
        <f>+'Tuition-2Yr'!AH25+'State Appropriations-2Yr'!AH25+'Local Appropriations-2Yr'!AH25+'Fed Contracts Grnts-2Yr'!AH25+'Other Contracts Grnts-2Yr'!AH25+'Investment Income-2Yr'!AH25+'All Other E&amp;G-2Yr'!AH25</f>
        <v>17192.715</v>
      </c>
      <c r="AI25" s="90">
        <f>+'Tuition-2Yr'!AI25+'State Appropriations-2Yr'!AI25+'Local Appropriations-2Yr'!AI25+'Fed Contracts Grnts-2Yr'!AI25+'Other Contracts Grnts-2Yr'!AI25+'Investment Income-2Yr'!AI25+'All Other E&amp;G-2Yr'!AI25</f>
        <v>17277.368999999999</v>
      </c>
      <c r="AJ25" s="90">
        <f>+'Tuition-2Yr'!AJ25+'State Appropriations-2Yr'!AJ25+'Local Appropriations-2Yr'!AJ25+'Fed Contracts Grnts-2Yr'!AJ25+'Other Contracts Grnts-2Yr'!AJ25+'Investment Income-2Yr'!AJ25+'All Other E&amp;G-2Yr'!AJ25</f>
        <v>0</v>
      </c>
      <c r="AK25" s="90">
        <f>+'Tuition-2Yr'!AK25+'State Appropriations-2Yr'!AK25+'Local Appropriations-2Yr'!AK25+'Fed Contracts Grnts-2Yr'!AK25+'Other Contracts Grnts-2Yr'!AK25+'Investment Income-2Yr'!AK25+'All Other E&amp;G-2Yr'!AK25</f>
        <v>19346.899000000001</v>
      </c>
    </row>
    <row r="26" spans="1:37" ht="12.75" customHeight="1">
      <c r="A26" s="1" t="s">
        <v>39</v>
      </c>
      <c r="B26" s="90">
        <f>+'Tuition-2Yr'!B26+'State Appropriations-2Yr'!B26+'Local Appropriations-2Yr'!B26+'Fed Contracts Grnts-2Yr'!B26+'Other Contracts Grnts-2Yr'!B26+'Investment Income-2Yr'!B26+'All Other E&amp;G-2Yr'!B26</f>
        <v>0</v>
      </c>
      <c r="C26" s="90">
        <f>+'Tuition-2Yr'!C26+'State Appropriations-2Yr'!C26+'Local Appropriations-2Yr'!C26+'Fed Contracts Grnts-2Yr'!C26+'Other Contracts Grnts-2Yr'!C26+'Investment Income-2Yr'!C26+'All Other E&amp;G-2Yr'!C26</f>
        <v>0</v>
      </c>
      <c r="D26" s="90">
        <f>+'Tuition-2Yr'!D26+'State Appropriations-2Yr'!D26+'Local Appropriations-2Yr'!D26+'Fed Contracts Grnts-2Yr'!D26+'Other Contracts Grnts-2Yr'!D26+'Investment Income-2Yr'!D26+'All Other E&amp;G-2Yr'!D26</f>
        <v>0</v>
      </c>
      <c r="E26" s="90">
        <f>+'Tuition-2Yr'!E26+'State Appropriations-2Yr'!E26+'Local Appropriations-2Yr'!E26+'Fed Contracts Grnts-2Yr'!E26+'Other Contracts Grnts-2Yr'!E26+'Investment Income-2Yr'!E26+'All Other E&amp;G-2Yr'!E26</f>
        <v>0</v>
      </c>
      <c r="F26" s="90">
        <f>+'Tuition-2Yr'!F26+'State Appropriations-2Yr'!F26+'Local Appropriations-2Yr'!F26+'Fed Contracts Grnts-2Yr'!F26+'Other Contracts Grnts-2Yr'!F26+'Investment Income-2Yr'!F26+'All Other E&amp;G-2Yr'!F26</f>
        <v>0</v>
      </c>
      <c r="G26" s="90">
        <f>+'Tuition-2Yr'!G26+'State Appropriations-2Yr'!G26+'Local Appropriations-2Yr'!G26+'Fed Contracts Grnts-2Yr'!G26+'Other Contracts Grnts-2Yr'!G26+'Investment Income-2Yr'!G26+'All Other E&amp;G-2Yr'!G26</f>
        <v>0</v>
      </c>
      <c r="H26" s="90">
        <f>+'Tuition-2Yr'!H26+'State Appropriations-2Yr'!H26+'Local Appropriations-2Yr'!H26+'Fed Contracts Grnts-2Yr'!H26+'Other Contracts Grnts-2Yr'!H26+'Investment Income-2Yr'!H26+'All Other E&amp;G-2Yr'!H26</f>
        <v>0</v>
      </c>
      <c r="I26" s="90">
        <f>+'Tuition-2Yr'!I26+'State Appropriations-2Yr'!I26+'Local Appropriations-2Yr'!I26+'Fed Contracts Grnts-2Yr'!I26+'Other Contracts Grnts-2Yr'!I26+'Investment Income-2Yr'!I26+'All Other E&amp;G-2Yr'!I26</f>
        <v>0</v>
      </c>
      <c r="J26" s="90">
        <f>+'Tuition-2Yr'!J26+'State Appropriations-2Yr'!J26+'Local Appropriations-2Yr'!J26+'Fed Contracts Grnts-2Yr'!J26+'Other Contracts Grnts-2Yr'!J26+'Investment Income-2Yr'!J26+'All Other E&amp;G-2Yr'!J26</f>
        <v>379839.27400000003</v>
      </c>
      <c r="K26" s="90">
        <f>+'Tuition-2Yr'!K26+'State Appropriations-2Yr'!K26+'Local Appropriations-2Yr'!K26+'Fed Contracts Grnts-2Yr'!K26+'Other Contracts Grnts-2Yr'!K26+'Investment Income-2Yr'!K26+'All Other E&amp;G-2Yr'!K26</f>
        <v>0</v>
      </c>
      <c r="L26" s="90">
        <f>+'Tuition-2Yr'!L26+'State Appropriations-2Yr'!L26+'Local Appropriations-2Yr'!L26+'Fed Contracts Grnts-2Yr'!L26+'Other Contracts Grnts-2Yr'!L26+'Investment Income-2Yr'!L26+'All Other E&amp;G-2Yr'!L26</f>
        <v>0</v>
      </c>
      <c r="M26" s="90">
        <f>+'Tuition-2Yr'!M26+'State Appropriations-2Yr'!M26+'Local Appropriations-2Yr'!M26+'Fed Contracts Grnts-2Yr'!M26+'Other Contracts Grnts-2Yr'!M26+'Investment Income-2Yr'!M26+'All Other E&amp;G-2Yr'!M26</f>
        <v>457411.49200000003</v>
      </c>
      <c r="N26" s="90">
        <f>+'Tuition-2Yr'!N26+'State Appropriations-2Yr'!N26+'Local Appropriations-2Yr'!N26+'Fed Contracts Grnts-2Yr'!N26+'Other Contracts Grnts-2Yr'!N26+'Investment Income-2Yr'!N26+'All Other E&amp;G-2Yr'!N26</f>
        <v>0</v>
      </c>
      <c r="O26" s="90">
        <f>+'Tuition-2Yr'!O26+'State Appropriations-2Yr'!O26+'Local Appropriations-2Yr'!O26+'Fed Contracts Grnts-2Yr'!O26+'Other Contracts Grnts-2Yr'!O26+'Investment Income-2Yr'!O26+'All Other E&amp;G-2Yr'!O26</f>
        <v>566842.54149000009</v>
      </c>
      <c r="P26" s="90">
        <f>+'Tuition-2Yr'!P26+'State Appropriations-2Yr'!P26+'Local Appropriations-2Yr'!P26+'Fed Contracts Grnts-2Yr'!P26+'Other Contracts Grnts-2Yr'!P26+'Investment Income-2Yr'!P26+'All Other E&amp;G-2Yr'!P26</f>
        <v>0</v>
      </c>
      <c r="Q26" s="90">
        <f>+'Tuition-2Yr'!Q26+'State Appropriations-2Yr'!Q26+'Local Appropriations-2Yr'!Q26+'Fed Contracts Grnts-2Yr'!Q26+'Other Contracts Grnts-2Yr'!Q26+'Investment Income-2Yr'!Q26+'All Other E&amp;G-2Yr'!Q26</f>
        <v>0</v>
      </c>
      <c r="R26" s="90">
        <f>+'Tuition-2Yr'!R26+'State Appropriations-2Yr'!R26+'Local Appropriations-2Yr'!R26+'Fed Contracts Grnts-2Yr'!R26+'Other Contracts Grnts-2Yr'!R26+'Investment Income-2Yr'!R26+'All Other E&amp;G-2Yr'!R26</f>
        <v>642711.071</v>
      </c>
      <c r="S26" s="90">
        <f>+'Tuition-2Yr'!S26+'State Appropriations-2Yr'!S26+'Local Appropriations-2Yr'!S26+'Fed Contracts Grnts-2Yr'!S26+'Other Contracts Grnts-2Yr'!S26+'Investment Income-2Yr'!S26+'All Other E&amp;G-2Yr'!S26</f>
        <v>702192.31600000011</v>
      </c>
      <c r="T26" s="90">
        <f>+'Tuition-2Yr'!T26+'State Appropriations-2Yr'!T26+'Local Appropriations-2Yr'!T26+'Fed Contracts Grnts-2Yr'!T26+'Other Contracts Grnts-2Yr'!T26+'Investment Income-2Yr'!T26+'All Other E&amp;G-2Yr'!T26</f>
        <v>822832.70199999993</v>
      </c>
      <c r="U26" s="90">
        <f>+'Tuition-2Yr'!U26+'State Appropriations-2Yr'!U26+'Local Appropriations-2Yr'!U26+'Fed Contracts Grnts-2Yr'!U26+'Other Contracts Grnts-2Yr'!U26+'Investment Income-2Yr'!U26+'All Other E&amp;G-2Yr'!U26</f>
        <v>811864.60899999994</v>
      </c>
      <c r="V26" s="90">
        <f>+'Tuition-2Yr'!V26+'State Appropriations-2Yr'!V26+'Local Appropriations-2Yr'!V26+'Fed Contracts Grnts-2Yr'!V26+'Other Contracts Grnts-2Yr'!V26+'Investment Income-2Yr'!V26+'All Other E&amp;G-2Yr'!V26</f>
        <v>881784.30700000015</v>
      </c>
      <c r="W26" s="90">
        <f>+'Tuition-2Yr'!W26+'State Appropriations-2Yr'!W26+'Local Appropriations-2Yr'!W26+'Fed Contracts Grnts-2Yr'!W26+'Other Contracts Grnts-2Yr'!W26+'Investment Income-2Yr'!W26+'All Other E&amp;G-2Yr'!W26</f>
        <v>1005398.1670000001</v>
      </c>
      <c r="X26" s="90">
        <f>+'Tuition-2Yr'!X26+'State Appropriations-2Yr'!X26+'Local Appropriations-2Yr'!X26+'Fed Contracts Grnts-2Yr'!X26+'Other Contracts Grnts-2Yr'!X26+'Investment Income-2Yr'!X26+'All Other E&amp;G-2Yr'!X26</f>
        <v>1025453.02</v>
      </c>
      <c r="Y26" s="90">
        <f>+'Tuition-2Yr'!Y26+'State Appropriations-2Yr'!Y26+'Local Appropriations-2Yr'!Y26+'Fed Contracts Grnts-2Yr'!Y26+'Other Contracts Grnts-2Yr'!Y26+'Investment Income-2Yr'!Y26+'All Other E&amp;G-2Yr'!Y26</f>
        <v>1112148.6499999999</v>
      </c>
      <c r="Z26" s="90">
        <f>+'Tuition-2Yr'!Z26+'State Appropriations-2Yr'!Z26+'Local Appropriations-2Yr'!Z26+'Fed Contracts Grnts-2Yr'!Z26+'Other Contracts Grnts-2Yr'!Z26+'Investment Income-2Yr'!Z26+'All Other E&amp;G-2Yr'!Z26</f>
        <v>1171906.97</v>
      </c>
      <c r="AA26" s="90">
        <f>+'Tuition-2Yr'!AA26+'State Appropriations-2Yr'!AA26+'Local Appropriations-2Yr'!AA26+'Fed Contracts Grnts-2Yr'!AA26+'Other Contracts Grnts-2Yr'!AA26+'Investment Income-2Yr'!AA26+'All Other E&amp;G-2Yr'!AA26</f>
        <v>1332833.5390000001</v>
      </c>
      <c r="AB26" s="90">
        <f>+'Tuition-2Yr'!AB26+'State Appropriations-2Yr'!AB26+'Local Appropriations-2Yr'!AB26+'Fed Contracts Grnts-2Yr'!AB26+'Other Contracts Grnts-2Yr'!AB26+'Investment Income-2Yr'!AB26+'All Other E&amp;G-2Yr'!AB26</f>
        <v>1470315.561</v>
      </c>
      <c r="AC26" s="90">
        <f>+'Tuition-2Yr'!AC26+'State Appropriations-2Yr'!AC26+'Local Appropriations-2Yr'!AC26+'Fed Contracts Grnts-2Yr'!AC26+'Other Contracts Grnts-2Yr'!AC26+'Investment Income-2Yr'!AC26+'All Other E&amp;G-2Yr'!AC26</f>
        <v>1594544</v>
      </c>
      <c r="AD26" s="90">
        <f>+'Tuition-2Yr'!AD26+'State Appropriations-2Yr'!AD26+'Local Appropriations-2Yr'!AD26+'Fed Contracts Grnts-2Yr'!AD26+'Other Contracts Grnts-2Yr'!AD26+'Investment Income-2Yr'!AD26+'All Other E&amp;G-2Yr'!AD26</f>
        <v>1566087.6229999999</v>
      </c>
      <c r="AE26" s="90">
        <f>+'Tuition-2Yr'!AE26+'State Appropriations-2Yr'!AE26+'Local Appropriations-2Yr'!AE26+'Fed Contracts Grnts-2Yr'!AE26+'Other Contracts Grnts-2Yr'!AE26+'Investment Income-2Yr'!AE26+'All Other E&amp;G-2Yr'!AE26</f>
        <v>1524708.0249999999</v>
      </c>
      <c r="AF26" s="90">
        <f>+'Tuition-2Yr'!AF26+'State Appropriations-2Yr'!AF26+'Local Appropriations-2Yr'!AF26+'Fed Contracts Grnts-2Yr'!AF26+'Other Contracts Grnts-2Yr'!AF26+'Investment Income-2Yr'!AF26+'All Other E&amp;G-2Yr'!AF26</f>
        <v>357893.587</v>
      </c>
      <c r="AG26" s="90">
        <f>+'Tuition-2Yr'!AG26+'State Appropriations-2Yr'!AG26+'Local Appropriations-2Yr'!AG26+'Fed Contracts Grnts-2Yr'!AG26+'Other Contracts Grnts-2Yr'!AG26+'Investment Income-2Yr'!AG26+'All Other E&amp;G-2Yr'!AG26</f>
        <v>363576.54100000003</v>
      </c>
      <c r="AH26" s="90">
        <f>+'Tuition-2Yr'!AH26+'State Appropriations-2Yr'!AH26+'Local Appropriations-2Yr'!AH26+'Fed Contracts Grnts-2Yr'!AH26+'Other Contracts Grnts-2Yr'!AH26+'Investment Income-2Yr'!AH26+'All Other E&amp;G-2Yr'!AH26</f>
        <v>1542798.0349999999</v>
      </c>
      <c r="AI26" s="90">
        <f>+'Tuition-2Yr'!AI26+'State Appropriations-2Yr'!AI26+'Local Appropriations-2Yr'!AI26+'Fed Contracts Grnts-2Yr'!AI26+'Other Contracts Grnts-2Yr'!AI26+'Investment Income-2Yr'!AI26+'All Other E&amp;G-2Yr'!AI26</f>
        <v>1526077.412</v>
      </c>
      <c r="AJ26" s="90">
        <f>+'Tuition-2Yr'!AJ26+'State Appropriations-2Yr'!AJ26+'Local Appropriations-2Yr'!AJ26+'Fed Contracts Grnts-2Yr'!AJ26+'Other Contracts Grnts-2Yr'!AJ26+'Investment Income-2Yr'!AJ26+'All Other E&amp;G-2Yr'!AJ26</f>
        <v>0</v>
      </c>
      <c r="AK26" s="90">
        <f>+'Tuition-2Yr'!AK26+'State Appropriations-2Yr'!AK26+'Local Appropriations-2Yr'!AK26+'Fed Contracts Grnts-2Yr'!AK26+'Other Contracts Grnts-2Yr'!AK26+'Investment Income-2Yr'!AK26+'All Other E&amp;G-2Yr'!AK26</f>
        <v>1701156.3579999998</v>
      </c>
    </row>
    <row r="27" spans="1:37" ht="12.75" customHeight="1">
      <c r="A27" s="1" t="s">
        <v>40</v>
      </c>
      <c r="B27" s="90">
        <f>+'Tuition-2Yr'!B27+'State Appropriations-2Yr'!B27+'Local Appropriations-2Yr'!B27+'Fed Contracts Grnts-2Yr'!B27+'Other Contracts Grnts-2Yr'!B27+'Investment Income-2Yr'!B27+'All Other E&amp;G-2Yr'!B27</f>
        <v>0</v>
      </c>
      <c r="C27" s="90">
        <f>+'Tuition-2Yr'!C27+'State Appropriations-2Yr'!C27+'Local Appropriations-2Yr'!C27+'Fed Contracts Grnts-2Yr'!C27+'Other Contracts Grnts-2Yr'!C27+'Investment Income-2Yr'!C27+'All Other E&amp;G-2Yr'!C27</f>
        <v>0</v>
      </c>
      <c r="D27" s="90">
        <f>+'Tuition-2Yr'!D27+'State Appropriations-2Yr'!D27+'Local Appropriations-2Yr'!D27+'Fed Contracts Grnts-2Yr'!D27+'Other Contracts Grnts-2Yr'!D27+'Investment Income-2Yr'!D27+'All Other E&amp;G-2Yr'!D27</f>
        <v>0</v>
      </c>
      <c r="E27" s="90">
        <f>+'Tuition-2Yr'!E27+'State Appropriations-2Yr'!E27+'Local Appropriations-2Yr'!E27+'Fed Contracts Grnts-2Yr'!E27+'Other Contracts Grnts-2Yr'!E27+'Investment Income-2Yr'!E27+'All Other E&amp;G-2Yr'!E27</f>
        <v>0</v>
      </c>
      <c r="F27" s="90">
        <f>+'Tuition-2Yr'!F27+'State Appropriations-2Yr'!F27+'Local Appropriations-2Yr'!F27+'Fed Contracts Grnts-2Yr'!F27+'Other Contracts Grnts-2Yr'!F27+'Investment Income-2Yr'!F27+'All Other E&amp;G-2Yr'!F27</f>
        <v>0</v>
      </c>
      <c r="G27" s="90">
        <f>+'Tuition-2Yr'!G27+'State Appropriations-2Yr'!G27+'Local Appropriations-2Yr'!G27+'Fed Contracts Grnts-2Yr'!G27+'Other Contracts Grnts-2Yr'!G27+'Investment Income-2Yr'!G27+'All Other E&amp;G-2Yr'!G27</f>
        <v>0</v>
      </c>
      <c r="H27" s="90">
        <f>+'Tuition-2Yr'!H27+'State Appropriations-2Yr'!H27+'Local Appropriations-2Yr'!H27+'Fed Contracts Grnts-2Yr'!H27+'Other Contracts Grnts-2Yr'!H27+'Investment Income-2Yr'!H27+'All Other E&amp;G-2Yr'!H27</f>
        <v>0</v>
      </c>
      <c r="I27" s="90">
        <f>+'Tuition-2Yr'!I27+'State Appropriations-2Yr'!I27+'Local Appropriations-2Yr'!I27+'Fed Contracts Grnts-2Yr'!I27+'Other Contracts Grnts-2Yr'!I27+'Investment Income-2Yr'!I27+'All Other E&amp;G-2Yr'!I27</f>
        <v>0</v>
      </c>
      <c r="J27" s="90">
        <f>+'Tuition-2Yr'!J27+'State Appropriations-2Yr'!J27+'Local Appropriations-2Yr'!J27+'Fed Contracts Grnts-2Yr'!J27+'Other Contracts Grnts-2Yr'!J27+'Investment Income-2Yr'!J27+'All Other E&amp;G-2Yr'!J27</f>
        <v>3342953.9140000008</v>
      </c>
      <c r="K27" s="90">
        <f>+'Tuition-2Yr'!K27+'State Appropriations-2Yr'!K27+'Local Appropriations-2Yr'!K27+'Fed Contracts Grnts-2Yr'!K27+'Other Contracts Grnts-2Yr'!K27+'Investment Income-2Yr'!K27+'All Other E&amp;G-2Yr'!K27</f>
        <v>0</v>
      </c>
      <c r="L27" s="90">
        <f>+'Tuition-2Yr'!L27+'State Appropriations-2Yr'!L27+'Local Appropriations-2Yr'!L27+'Fed Contracts Grnts-2Yr'!L27+'Other Contracts Grnts-2Yr'!L27+'Investment Income-2Yr'!L27+'All Other E&amp;G-2Yr'!L27</f>
        <v>0</v>
      </c>
      <c r="M27" s="90">
        <f>+'Tuition-2Yr'!M27+'State Appropriations-2Yr'!M27+'Local Appropriations-2Yr'!M27+'Fed Contracts Grnts-2Yr'!M27+'Other Contracts Grnts-2Yr'!M27+'Investment Income-2Yr'!M27+'All Other E&amp;G-2Yr'!M27</f>
        <v>3439184.7140000002</v>
      </c>
      <c r="N27" s="90">
        <f>+'Tuition-2Yr'!N27+'State Appropriations-2Yr'!N27+'Local Appropriations-2Yr'!N27+'Fed Contracts Grnts-2Yr'!N27+'Other Contracts Grnts-2Yr'!N27+'Investment Income-2Yr'!N27+'All Other E&amp;G-2Yr'!N27</f>
        <v>0</v>
      </c>
      <c r="O27" s="90">
        <f>+'Tuition-2Yr'!O27+'State Appropriations-2Yr'!O27+'Local Appropriations-2Yr'!O27+'Fed Contracts Grnts-2Yr'!O27+'Other Contracts Grnts-2Yr'!O27+'Investment Income-2Yr'!O27+'All Other E&amp;G-2Yr'!O27</f>
        <v>4308499.5686900001</v>
      </c>
      <c r="P27" s="90">
        <f>+'Tuition-2Yr'!P27+'State Appropriations-2Yr'!P27+'Local Appropriations-2Yr'!P27+'Fed Contracts Grnts-2Yr'!P27+'Other Contracts Grnts-2Yr'!P27+'Investment Income-2Yr'!P27+'All Other E&amp;G-2Yr'!P27</f>
        <v>0</v>
      </c>
      <c r="Q27" s="90">
        <f>+'Tuition-2Yr'!Q27+'State Appropriations-2Yr'!Q27+'Local Appropriations-2Yr'!Q27+'Fed Contracts Grnts-2Yr'!Q27+'Other Contracts Grnts-2Yr'!Q27+'Investment Income-2Yr'!Q27+'All Other E&amp;G-2Yr'!Q27</f>
        <v>0</v>
      </c>
      <c r="R27" s="90">
        <f>+'Tuition-2Yr'!R27+'State Appropriations-2Yr'!R27+'Local Appropriations-2Yr'!R27+'Fed Contracts Grnts-2Yr'!R27+'Other Contracts Grnts-2Yr'!R27+'Investment Income-2Yr'!R27+'All Other E&amp;G-2Yr'!R27</f>
        <v>3865154.3390000002</v>
      </c>
      <c r="S27" s="90">
        <f>+'Tuition-2Yr'!S27+'State Appropriations-2Yr'!S27+'Local Appropriations-2Yr'!S27+'Fed Contracts Grnts-2Yr'!S27+'Other Contracts Grnts-2Yr'!S27+'Investment Income-2Yr'!S27+'All Other E&amp;G-2Yr'!S27</f>
        <v>4778173.5140000014</v>
      </c>
      <c r="T27" s="90">
        <f>+'Tuition-2Yr'!T27+'State Appropriations-2Yr'!T27+'Local Appropriations-2Yr'!T27+'Fed Contracts Grnts-2Yr'!T27+'Other Contracts Grnts-2Yr'!T27+'Investment Income-2Yr'!T27+'All Other E&amp;G-2Yr'!T27</f>
        <v>4651263.3210000005</v>
      </c>
      <c r="U27" s="90">
        <f>+'Tuition-2Yr'!U27+'State Appropriations-2Yr'!U27+'Local Appropriations-2Yr'!U27+'Fed Contracts Grnts-2Yr'!U27+'Other Contracts Grnts-2Yr'!U27+'Investment Income-2Yr'!U27+'All Other E&amp;G-2Yr'!U27</f>
        <v>4544193.7700000005</v>
      </c>
      <c r="V27" s="90">
        <f>+'Tuition-2Yr'!V27+'State Appropriations-2Yr'!V27+'Local Appropriations-2Yr'!V27+'Fed Contracts Grnts-2Yr'!V27+'Other Contracts Grnts-2Yr'!V27+'Investment Income-2Yr'!V27+'All Other E&amp;G-2Yr'!V27</f>
        <v>4648934.4479999999</v>
      </c>
      <c r="W27" s="90">
        <f>+'Tuition-2Yr'!W27+'State Appropriations-2Yr'!W27+'Local Appropriations-2Yr'!W27+'Fed Contracts Grnts-2Yr'!W27+'Other Contracts Grnts-2Yr'!W27+'Investment Income-2Yr'!W27+'All Other E&amp;G-2Yr'!W27</f>
        <v>7070438.7749999985</v>
      </c>
      <c r="X27" s="90">
        <f>+'Tuition-2Yr'!X27+'State Appropriations-2Yr'!X27+'Local Appropriations-2Yr'!X27+'Fed Contracts Grnts-2Yr'!X27+'Other Contracts Grnts-2Yr'!X27+'Investment Income-2Yr'!X27+'All Other E&amp;G-2Yr'!X27</f>
        <v>7270582.5980000002</v>
      </c>
      <c r="Y27" s="90">
        <f>+'Tuition-2Yr'!Y27+'State Appropriations-2Yr'!Y27+'Local Appropriations-2Yr'!Y27+'Fed Contracts Grnts-2Yr'!Y27+'Other Contracts Grnts-2Yr'!Y27+'Investment Income-2Yr'!Y27+'All Other E&amp;G-2Yr'!Y27</f>
        <v>8235450.6590000009</v>
      </c>
      <c r="Z27" s="90">
        <f>+'Tuition-2Yr'!Z27+'State Appropriations-2Yr'!Z27+'Local Appropriations-2Yr'!Z27+'Fed Contracts Grnts-2Yr'!Z27+'Other Contracts Grnts-2Yr'!Z27+'Investment Income-2Yr'!Z27+'All Other E&amp;G-2Yr'!Z27</f>
        <v>8811543.6199999992</v>
      </c>
      <c r="AA27" s="90">
        <f>+'Tuition-2Yr'!AA27+'State Appropriations-2Yr'!AA27+'Local Appropriations-2Yr'!AA27+'Fed Contracts Grnts-2Yr'!AA27+'Other Contracts Grnts-2Yr'!AA27+'Investment Income-2Yr'!AA27+'All Other E&amp;G-2Yr'!AA27</f>
        <v>9586289.4529999997</v>
      </c>
      <c r="AB27" s="90">
        <f>+'Tuition-2Yr'!AB27+'State Appropriations-2Yr'!AB27+'Local Appropriations-2Yr'!AB27+'Fed Contracts Grnts-2Yr'!AB27+'Other Contracts Grnts-2Yr'!AB27+'Investment Income-2Yr'!AB27+'All Other E&amp;G-2Yr'!AB27</f>
        <v>9692386.5779999979</v>
      </c>
      <c r="AC27" s="90">
        <f>+'Tuition-2Yr'!AC27+'State Appropriations-2Yr'!AC27+'Local Appropriations-2Yr'!AC27+'Fed Contracts Grnts-2Yr'!AC27+'Other Contracts Grnts-2Yr'!AC27+'Investment Income-2Yr'!AC27+'All Other E&amp;G-2Yr'!AC27</f>
        <v>10771482</v>
      </c>
      <c r="AD27" s="90">
        <f>+'Tuition-2Yr'!AD27+'State Appropriations-2Yr'!AD27+'Local Appropriations-2Yr'!AD27+'Fed Contracts Grnts-2Yr'!AD27+'Other Contracts Grnts-2Yr'!AD27+'Investment Income-2Yr'!AD27+'All Other E&amp;G-2Yr'!AD27</f>
        <v>9960911.7949999999</v>
      </c>
      <c r="AE27" s="90">
        <f>+'Tuition-2Yr'!AE27+'State Appropriations-2Yr'!AE27+'Local Appropriations-2Yr'!AE27+'Fed Contracts Grnts-2Yr'!AE27+'Other Contracts Grnts-2Yr'!AE27+'Investment Income-2Yr'!AE27+'All Other E&amp;G-2Yr'!AE27</f>
        <v>10130037.069</v>
      </c>
      <c r="AF27" s="90">
        <f>+'Tuition-2Yr'!AF27+'State Appropriations-2Yr'!AF27+'Local Appropriations-2Yr'!AF27+'Fed Contracts Grnts-2Yr'!AF27+'Other Contracts Grnts-2Yr'!AF27+'Investment Income-2Yr'!AF27+'All Other E&amp;G-2Yr'!AF27</f>
        <v>7964607.2819999997</v>
      </c>
      <c r="AG27" s="90">
        <f>+'Tuition-2Yr'!AG27+'State Appropriations-2Yr'!AG27+'Local Appropriations-2Yr'!AG27+'Fed Contracts Grnts-2Yr'!AG27+'Other Contracts Grnts-2Yr'!AG27+'Investment Income-2Yr'!AG27+'All Other E&amp;G-2Yr'!AG27</f>
        <v>8324970.4280000003</v>
      </c>
      <c r="AH27" s="90">
        <f>+'Tuition-2Yr'!AH27+'State Appropriations-2Yr'!AH27+'Local Appropriations-2Yr'!AH27+'Fed Contracts Grnts-2Yr'!AH27+'Other Contracts Grnts-2Yr'!AH27+'Investment Income-2Yr'!AH27+'All Other E&amp;G-2Yr'!AH27</f>
        <v>12539540.649999999</v>
      </c>
      <c r="AI27" s="90">
        <f>+'Tuition-2Yr'!AI27+'State Appropriations-2Yr'!AI27+'Local Appropriations-2Yr'!AI27+'Fed Contracts Grnts-2Yr'!AI27+'Other Contracts Grnts-2Yr'!AI27+'Investment Income-2Yr'!AI27+'All Other E&amp;G-2Yr'!AI27</f>
        <v>12648972.768999999</v>
      </c>
      <c r="AJ27" s="90">
        <f>+'Tuition-2Yr'!AJ27+'State Appropriations-2Yr'!AJ27+'Local Appropriations-2Yr'!AJ27+'Fed Contracts Grnts-2Yr'!AJ27+'Other Contracts Grnts-2Yr'!AJ27+'Investment Income-2Yr'!AJ27+'All Other E&amp;G-2Yr'!AJ27</f>
        <v>0</v>
      </c>
      <c r="AK27" s="90">
        <f>+'Tuition-2Yr'!AK27+'State Appropriations-2Yr'!AK27+'Local Appropriations-2Yr'!AK27+'Fed Contracts Grnts-2Yr'!AK27+'Other Contracts Grnts-2Yr'!AK27+'Investment Income-2Yr'!AK27+'All Other E&amp;G-2Yr'!AK27</f>
        <v>15978211.404000001</v>
      </c>
    </row>
    <row r="28" spans="1:37" ht="12.75" customHeight="1">
      <c r="A28" s="1" t="s">
        <v>41</v>
      </c>
      <c r="B28" s="90">
        <f>+'Tuition-2Yr'!B28+'State Appropriations-2Yr'!B28+'Local Appropriations-2Yr'!B28+'Fed Contracts Grnts-2Yr'!B28+'Other Contracts Grnts-2Yr'!B28+'Investment Income-2Yr'!B28+'All Other E&amp;G-2Yr'!B28</f>
        <v>0</v>
      </c>
      <c r="C28" s="90">
        <f>+'Tuition-2Yr'!C28+'State Appropriations-2Yr'!C28+'Local Appropriations-2Yr'!C28+'Fed Contracts Grnts-2Yr'!C28+'Other Contracts Grnts-2Yr'!C28+'Investment Income-2Yr'!C28+'All Other E&amp;G-2Yr'!C28</f>
        <v>0</v>
      </c>
      <c r="D28" s="90">
        <f>+'Tuition-2Yr'!D28+'State Appropriations-2Yr'!D28+'Local Appropriations-2Yr'!D28+'Fed Contracts Grnts-2Yr'!D28+'Other Contracts Grnts-2Yr'!D28+'Investment Income-2Yr'!D28+'All Other E&amp;G-2Yr'!D28</f>
        <v>0</v>
      </c>
      <c r="E28" s="90">
        <f>+'Tuition-2Yr'!E28+'State Appropriations-2Yr'!E28+'Local Appropriations-2Yr'!E28+'Fed Contracts Grnts-2Yr'!E28+'Other Contracts Grnts-2Yr'!E28+'Investment Income-2Yr'!E28+'All Other E&amp;G-2Yr'!E28</f>
        <v>0</v>
      </c>
      <c r="F28" s="90">
        <f>+'Tuition-2Yr'!F28+'State Appropriations-2Yr'!F28+'Local Appropriations-2Yr'!F28+'Fed Contracts Grnts-2Yr'!F28+'Other Contracts Grnts-2Yr'!F28+'Investment Income-2Yr'!F28+'All Other E&amp;G-2Yr'!F28</f>
        <v>0</v>
      </c>
      <c r="G28" s="90">
        <f>+'Tuition-2Yr'!G28+'State Appropriations-2Yr'!G28+'Local Appropriations-2Yr'!G28+'Fed Contracts Grnts-2Yr'!G28+'Other Contracts Grnts-2Yr'!G28+'Investment Income-2Yr'!G28+'All Other E&amp;G-2Yr'!G28</f>
        <v>0</v>
      </c>
      <c r="H28" s="90">
        <f>+'Tuition-2Yr'!H28+'State Appropriations-2Yr'!H28+'Local Appropriations-2Yr'!H28+'Fed Contracts Grnts-2Yr'!H28+'Other Contracts Grnts-2Yr'!H28+'Investment Income-2Yr'!H28+'All Other E&amp;G-2Yr'!H28</f>
        <v>0</v>
      </c>
      <c r="I28" s="90">
        <f>+'Tuition-2Yr'!I28+'State Appropriations-2Yr'!I28+'Local Appropriations-2Yr'!I28+'Fed Contracts Grnts-2Yr'!I28+'Other Contracts Grnts-2Yr'!I28+'Investment Income-2Yr'!I28+'All Other E&amp;G-2Yr'!I28</f>
        <v>0</v>
      </c>
      <c r="J28" s="90">
        <f>+'Tuition-2Yr'!J28+'State Appropriations-2Yr'!J28+'Local Appropriations-2Yr'!J28+'Fed Contracts Grnts-2Yr'!J28+'Other Contracts Grnts-2Yr'!J28+'Investment Income-2Yr'!J28+'All Other E&amp;G-2Yr'!J28</f>
        <v>215952.49800000002</v>
      </c>
      <c r="K28" s="90">
        <f>+'Tuition-2Yr'!K28+'State Appropriations-2Yr'!K28+'Local Appropriations-2Yr'!K28+'Fed Contracts Grnts-2Yr'!K28+'Other Contracts Grnts-2Yr'!K28+'Investment Income-2Yr'!K28+'All Other E&amp;G-2Yr'!K28</f>
        <v>0</v>
      </c>
      <c r="L28" s="90">
        <f>+'Tuition-2Yr'!L28+'State Appropriations-2Yr'!L28+'Local Appropriations-2Yr'!L28+'Fed Contracts Grnts-2Yr'!L28+'Other Contracts Grnts-2Yr'!L28+'Investment Income-2Yr'!L28+'All Other E&amp;G-2Yr'!L28</f>
        <v>0</v>
      </c>
      <c r="M28" s="90">
        <f>+'Tuition-2Yr'!M28+'State Appropriations-2Yr'!M28+'Local Appropriations-2Yr'!M28+'Fed Contracts Grnts-2Yr'!M28+'Other Contracts Grnts-2Yr'!M28+'Investment Income-2Yr'!M28+'All Other E&amp;G-2Yr'!M28</f>
        <v>261702.66999999995</v>
      </c>
      <c r="N28" s="90">
        <f>+'Tuition-2Yr'!N28+'State Appropriations-2Yr'!N28+'Local Appropriations-2Yr'!N28+'Fed Contracts Grnts-2Yr'!N28+'Other Contracts Grnts-2Yr'!N28+'Investment Income-2Yr'!N28+'All Other E&amp;G-2Yr'!N28</f>
        <v>0</v>
      </c>
      <c r="O28" s="90">
        <f>+'Tuition-2Yr'!O28+'State Appropriations-2Yr'!O28+'Local Appropriations-2Yr'!O28+'Fed Contracts Grnts-2Yr'!O28+'Other Contracts Grnts-2Yr'!O28+'Investment Income-2Yr'!O28+'All Other E&amp;G-2Yr'!O28</f>
        <v>300605.82400000002</v>
      </c>
      <c r="P28" s="90">
        <f>+'Tuition-2Yr'!P28+'State Appropriations-2Yr'!P28+'Local Appropriations-2Yr'!P28+'Fed Contracts Grnts-2Yr'!P28+'Other Contracts Grnts-2Yr'!P28+'Investment Income-2Yr'!P28+'All Other E&amp;G-2Yr'!P28</f>
        <v>0</v>
      </c>
      <c r="Q28" s="90">
        <f>+'Tuition-2Yr'!Q28+'State Appropriations-2Yr'!Q28+'Local Appropriations-2Yr'!Q28+'Fed Contracts Grnts-2Yr'!Q28+'Other Contracts Grnts-2Yr'!Q28+'Investment Income-2Yr'!Q28+'All Other E&amp;G-2Yr'!Q28</f>
        <v>0</v>
      </c>
      <c r="R28" s="90">
        <f>+'Tuition-2Yr'!R28+'State Appropriations-2Yr'!R28+'Local Appropriations-2Yr'!R28+'Fed Contracts Grnts-2Yr'!R28+'Other Contracts Grnts-2Yr'!R28+'Investment Income-2Yr'!R28+'All Other E&amp;G-2Yr'!R28</f>
        <v>343985.33</v>
      </c>
      <c r="S28" s="90">
        <f>+'Tuition-2Yr'!S28+'State Appropriations-2Yr'!S28+'Local Appropriations-2Yr'!S28+'Fed Contracts Grnts-2Yr'!S28+'Other Contracts Grnts-2Yr'!S28+'Investment Income-2Yr'!S28+'All Other E&amp;G-2Yr'!S28</f>
        <v>370238.375</v>
      </c>
      <c r="T28" s="90">
        <f>+'Tuition-2Yr'!T28+'State Appropriations-2Yr'!T28+'Local Appropriations-2Yr'!T28+'Fed Contracts Grnts-2Yr'!T28+'Other Contracts Grnts-2Yr'!T28+'Investment Income-2Yr'!T28+'All Other E&amp;G-2Yr'!T28</f>
        <v>403043.74300000002</v>
      </c>
      <c r="U28" s="90">
        <f>+'Tuition-2Yr'!U28+'State Appropriations-2Yr'!U28+'Local Appropriations-2Yr'!U28+'Fed Contracts Grnts-2Yr'!U28+'Other Contracts Grnts-2Yr'!U28+'Investment Income-2Yr'!U28+'All Other E&amp;G-2Yr'!U28</f>
        <v>382054.82199999999</v>
      </c>
      <c r="V28" s="90">
        <f>+'Tuition-2Yr'!V28+'State Appropriations-2Yr'!V28+'Local Appropriations-2Yr'!V28+'Fed Contracts Grnts-2Yr'!V28+'Other Contracts Grnts-2Yr'!V28+'Investment Income-2Yr'!V28+'All Other E&amp;G-2Yr'!V28</f>
        <v>383006.44500000001</v>
      </c>
      <c r="W28" s="90">
        <f>+'Tuition-2Yr'!W28+'State Appropriations-2Yr'!W28+'Local Appropriations-2Yr'!W28+'Fed Contracts Grnts-2Yr'!W28+'Other Contracts Grnts-2Yr'!W28+'Investment Income-2Yr'!W28+'All Other E&amp;G-2Yr'!W28</f>
        <v>436208.89300000004</v>
      </c>
      <c r="X28" s="90">
        <f>+'Tuition-2Yr'!X28+'State Appropriations-2Yr'!X28+'Local Appropriations-2Yr'!X28+'Fed Contracts Grnts-2Yr'!X28+'Other Contracts Grnts-2Yr'!X28+'Investment Income-2Yr'!X28+'All Other E&amp;G-2Yr'!X28</f>
        <v>413906.21100000001</v>
      </c>
      <c r="Y28" s="90">
        <f>+'Tuition-2Yr'!Y28+'State Appropriations-2Yr'!Y28+'Local Appropriations-2Yr'!Y28+'Fed Contracts Grnts-2Yr'!Y28+'Other Contracts Grnts-2Yr'!Y28+'Investment Income-2Yr'!Y28+'All Other E&amp;G-2Yr'!Y28</f>
        <v>441014.95699999999</v>
      </c>
      <c r="Z28" s="90">
        <f>+'Tuition-2Yr'!Z28+'State Appropriations-2Yr'!Z28+'Local Appropriations-2Yr'!Z28+'Fed Contracts Grnts-2Yr'!Z28+'Other Contracts Grnts-2Yr'!Z28+'Investment Income-2Yr'!Z28+'All Other E&amp;G-2Yr'!Z28</f>
        <v>477938.79</v>
      </c>
      <c r="AA28" s="90">
        <f>+'Tuition-2Yr'!AA28+'State Appropriations-2Yr'!AA28+'Local Appropriations-2Yr'!AA28+'Fed Contracts Grnts-2Yr'!AA28+'Other Contracts Grnts-2Yr'!AA28+'Investment Income-2Yr'!AA28+'All Other E&amp;G-2Yr'!AA28</f>
        <v>591166.84800000011</v>
      </c>
      <c r="AB28" s="90">
        <f>+'Tuition-2Yr'!AB28+'State Appropriations-2Yr'!AB28+'Local Appropriations-2Yr'!AB28+'Fed Contracts Grnts-2Yr'!AB28+'Other Contracts Grnts-2Yr'!AB28+'Investment Income-2Yr'!AB28+'All Other E&amp;G-2Yr'!AB28</f>
        <v>707293.35</v>
      </c>
      <c r="AC28" s="90">
        <f>+'Tuition-2Yr'!AC28+'State Appropriations-2Yr'!AC28+'Local Appropriations-2Yr'!AC28+'Fed Contracts Grnts-2Yr'!AC28+'Other Contracts Grnts-2Yr'!AC28+'Investment Income-2Yr'!AC28+'All Other E&amp;G-2Yr'!AC28</f>
        <v>781675</v>
      </c>
      <c r="AD28" s="90">
        <f>+'Tuition-2Yr'!AD28+'State Appropriations-2Yr'!AD28+'Local Appropriations-2Yr'!AD28+'Fed Contracts Grnts-2Yr'!AD28+'Other Contracts Grnts-2Yr'!AD28+'Investment Income-2Yr'!AD28+'All Other E&amp;G-2Yr'!AD28</f>
        <v>775531.51199999999</v>
      </c>
      <c r="AE28" s="90">
        <f>+'Tuition-2Yr'!AE28+'State Appropriations-2Yr'!AE28+'Local Appropriations-2Yr'!AE28+'Fed Contracts Grnts-2Yr'!AE28+'Other Contracts Grnts-2Yr'!AE28+'Investment Income-2Yr'!AE28+'All Other E&amp;G-2Yr'!AE28</f>
        <v>786854.12899999996</v>
      </c>
      <c r="AF28" s="90">
        <f>+'Tuition-2Yr'!AF28+'State Appropriations-2Yr'!AF28+'Local Appropriations-2Yr'!AF28+'Fed Contracts Grnts-2Yr'!AF28+'Other Contracts Grnts-2Yr'!AF28+'Investment Income-2Yr'!AF28+'All Other E&amp;G-2Yr'!AF28</f>
        <v>344273.96299999999</v>
      </c>
      <c r="AG28" s="90">
        <f>+'Tuition-2Yr'!AG28+'State Appropriations-2Yr'!AG28+'Local Appropriations-2Yr'!AG28+'Fed Contracts Grnts-2Yr'!AG28+'Other Contracts Grnts-2Yr'!AG28+'Investment Income-2Yr'!AG28+'All Other E&amp;G-2Yr'!AG28</f>
        <v>351694.46400000004</v>
      </c>
      <c r="AH28" s="90">
        <f>+'Tuition-2Yr'!AH28+'State Appropriations-2Yr'!AH28+'Local Appropriations-2Yr'!AH28+'Fed Contracts Grnts-2Yr'!AH28+'Other Contracts Grnts-2Yr'!AH28+'Investment Income-2Yr'!AH28+'All Other E&amp;G-2Yr'!AH28</f>
        <v>757398.85600000003</v>
      </c>
      <c r="AI28" s="90">
        <f>+'Tuition-2Yr'!AI28+'State Appropriations-2Yr'!AI28+'Local Appropriations-2Yr'!AI28+'Fed Contracts Grnts-2Yr'!AI28+'Other Contracts Grnts-2Yr'!AI28+'Investment Income-2Yr'!AI28+'All Other E&amp;G-2Yr'!AI28</f>
        <v>737651.34700000007</v>
      </c>
      <c r="AJ28" s="90">
        <f>+'Tuition-2Yr'!AJ28+'State Appropriations-2Yr'!AJ28+'Local Appropriations-2Yr'!AJ28+'Fed Contracts Grnts-2Yr'!AJ28+'Other Contracts Grnts-2Yr'!AJ28+'Investment Income-2Yr'!AJ28+'All Other E&amp;G-2Yr'!AJ28</f>
        <v>0</v>
      </c>
      <c r="AK28" s="90">
        <f>+'Tuition-2Yr'!AK28+'State Appropriations-2Yr'!AK28+'Local Appropriations-2Yr'!AK28+'Fed Contracts Grnts-2Yr'!AK28+'Other Contracts Grnts-2Yr'!AK28+'Investment Income-2Yr'!AK28+'All Other E&amp;G-2Yr'!AK28</f>
        <v>836056.53200000012</v>
      </c>
    </row>
    <row r="29" spans="1:37" ht="12.75" customHeight="1">
      <c r="A29" s="1" t="s">
        <v>42</v>
      </c>
      <c r="B29" s="90">
        <f>+'Tuition-2Yr'!B29+'State Appropriations-2Yr'!B29+'Local Appropriations-2Yr'!B29+'Fed Contracts Grnts-2Yr'!B29+'Other Contracts Grnts-2Yr'!B29+'Investment Income-2Yr'!B29+'All Other E&amp;G-2Yr'!B29</f>
        <v>0</v>
      </c>
      <c r="C29" s="90">
        <f>+'Tuition-2Yr'!C29+'State Appropriations-2Yr'!C29+'Local Appropriations-2Yr'!C29+'Fed Contracts Grnts-2Yr'!C29+'Other Contracts Grnts-2Yr'!C29+'Investment Income-2Yr'!C29+'All Other E&amp;G-2Yr'!C29</f>
        <v>0</v>
      </c>
      <c r="D29" s="90">
        <f>+'Tuition-2Yr'!D29+'State Appropriations-2Yr'!D29+'Local Appropriations-2Yr'!D29+'Fed Contracts Grnts-2Yr'!D29+'Other Contracts Grnts-2Yr'!D29+'Investment Income-2Yr'!D29+'All Other E&amp;G-2Yr'!D29</f>
        <v>0</v>
      </c>
      <c r="E29" s="90">
        <f>+'Tuition-2Yr'!E29+'State Appropriations-2Yr'!E29+'Local Appropriations-2Yr'!E29+'Fed Contracts Grnts-2Yr'!E29+'Other Contracts Grnts-2Yr'!E29+'Investment Income-2Yr'!E29+'All Other E&amp;G-2Yr'!E29</f>
        <v>0</v>
      </c>
      <c r="F29" s="90">
        <f>+'Tuition-2Yr'!F29+'State Appropriations-2Yr'!F29+'Local Appropriations-2Yr'!F29+'Fed Contracts Grnts-2Yr'!F29+'Other Contracts Grnts-2Yr'!F29+'Investment Income-2Yr'!F29+'All Other E&amp;G-2Yr'!F29</f>
        <v>0</v>
      </c>
      <c r="G29" s="90">
        <f>+'Tuition-2Yr'!G29+'State Appropriations-2Yr'!G29+'Local Appropriations-2Yr'!G29+'Fed Contracts Grnts-2Yr'!G29+'Other Contracts Grnts-2Yr'!G29+'Investment Income-2Yr'!G29+'All Other E&amp;G-2Yr'!G29</f>
        <v>0</v>
      </c>
      <c r="H29" s="90">
        <f>+'Tuition-2Yr'!H29+'State Appropriations-2Yr'!H29+'Local Appropriations-2Yr'!H29+'Fed Contracts Grnts-2Yr'!H29+'Other Contracts Grnts-2Yr'!H29+'Investment Income-2Yr'!H29+'All Other E&amp;G-2Yr'!H29</f>
        <v>0</v>
      </c>
      <c r="I29" s="90">
        <f>+'Tuition-2Yr'!I29+'State Appropriations-2Yr'!I29+'Local Appropriations-2Yr'!I29+'Fed Contracts Grnts-2Yr'!I29+'Other Contracts Grnts-2Yr'!I29+'Investment Income-2Yr'!I29+'All Other E&amp;G-2Yr'!I29</f>
        <v>0</v>
      </c>
      <c r="J29" s="90">
        <f>+'Tuition-2Yr'!J29+'State Appropriations-2Yr'!J29+'Local Appropriations-2Yr'!J29+'Fed Contracts Grnts-2Yr'!J29+'Other Contracts Grnts-2Yr'!J29+'Investment Income-2Yr'!J29+'All Other E&amp;G-2Yr'!J29</f>
        <v>102636.12699999999</v>
      </c>
      <c r="K29" s="90">
        <f>+'Tuition-2Yr'!K29+'State Appropriations-2Yr'!K29+'Local Appropriations-2Yr'!K29+'Fed Contracts Grnts-2Yr'!K29+'Other Contracts Grnts-2Yr'!K29+'Investment Income-2Yr'!K29+'All Other E&amp;G-2Yr'!K29</f>
        <v>0</v>
      </c>
      <c r="L29" s="90">
        <f>+'Tuition-2Yr'!L29+'State Appropriations-2Yr'!L29+'Local Appropriations-2Yr'!L29+'Fed Contracts Grnts-2Yr'!L29+'Other Contracts Grnts-2Yr'!L29+'Investment Income-2Yr'!L29+'All Other E&amp;G-2Yr'!L29</f>
        <v>0</v>
      </c>
      <c r="M29" s="90">
        <f>+'Tuition-2Yr'!M29+'State Appropriations-2Yr'!M29+'Local Appropriations-2Yr'!M29+'Fed Contracts Grnts-2Yr'!M29+'Other Contracts Grnts-2Yr'!M29+'Investment Income-2Yr'!M29+'All Other E&amp;G-2Yr'!M29</f>
        <v>114766.496</v>
      </c>
      <c r="N29" s="90">
        <f>+'Tuition-2Yr'!N29+'State Appropriations-2Yr'!N29+'Local Appropriations-2Yr'!N29+'Fed Contracts Grnts-2Yr'!N29+'Other Contracts Grnts-2Yr'!N29+'Investment Income-2Yr'!N29+'All Other E&amp;G-2Yr'!N29</f>
        <v>0</v>
      </c>
      <c r="O29" s="90">
        <f>+'Tuition-2Yr'!O29+'State Appropriations-2Yr'!O29+'Local Appropriations-2Yr'!O29+'Fed Contracts Grnts-2Yr'!O29+'Other Contracts Grnts-2Yr'!O29+'Investment Income-2Yr'!O29+'All Other E&amp;G-2Yr'!O29</f>
        <v>99176.476999999999</v>
      </c>
      <c r="P29" s="90">
        <f>+'Tuition-2Yr'!P29+'State Appropriations-2Yr'!P29+'Local Appropriations-2Yr'!P29+'Fed Contracts Grnts-2Yr'!P29+'Other Contracts Grnts-2Yr'!P29+'Investment Income-2Yr'!P29+'All Other E&amp;G-2Yr'!P29</f>
        <v>0</v>
      </c>
      <c r="Q29" s="90">
        <f>+'Tuition-2Yr'!Q29+'State Appropriations-2Yr'!Q29+'Local Appropriations-2Yr'!Q29+'Fed Contracts Grnts-2Yr'!Q29+'Other Contracts Grnts-2Yr'!Q29+'Investment Income-2Yr'!Q29+'All Other E&amp;G-2Yr'!Q29</f>
        <v>0</v>
      </c>
      <c r="R29" s="90">
        <f>+'Tuition-2Yr'!R29+'State Appropriations-2Yr'!R29+'Local Appropriations-2Yr'!R29+'Fed Contracts Grnts-2Yr'!R29+'Other Contracts Grnts-2Yr'!R29+'Investment Income-2Yr'!R29+'All Other E&amp;G-2Yr'!R29</f>
        <v>118698.29</v>
      </c>
      <c r="S29" s="90">
        <f>+'Tuition-2Yr'!S29+'State Appropriations-2Yr'!S29+'Local Appropriations-2Yr'!S29+'Fed Contracts Grnts-2Yr'!S29+'Other Contracts Grnts-2Yr'!S29+'Investment Income-2Yr'!S29+'All Other E&amp;G-2Yr'!S29</f>
        <v>122827.643</v>
      </c>
      <c r="T29" s="90">
        <f>+'Tuition-2Yr'!T29+'State Appropriations-2Yr'!T29+'Local Appropriations-2Yr'!T29+'Fed Contracts Grnts-2Yr'!T29+'Other Contracts Grnts-2Yr'!T29+'Investment Income-2Yr'!T29+'All Other E&amp;G-2Yr'!T29</f>
        <v>164797.421</v>
      </c>
      <c r="U29" s="90">
        <f>+'Tuition-2Yr'!U29+'State Appropriations-2Yr'!U29+'Local Appropriations-2Yr'!U29+'Fed Contracts Grnts-2Yr'!U29+'Other Contracts Grnts-2Yr'!U29+'Investment Income-2Yr'!U29+'All Other E&amp;G-2Yr'!U29</f>
        <v>155661.53099999999</v>
      </c>
      <c r="V29" s="90">
        <f>+'Tuition-2Yr'!V29+'State Appropriations-2Yr'!V29+'Local Appropriations-2Yr'!V29+'Fed Contracts Grnts-2Yr'!V29+'Other Contracts Grnts-2Yr'!V29+'Investment Income-2Yr'!V29+'All Other E&amp;G-2Yr'!V29</f>
        <v>141161.61299999998</v>
      </c>
      <c r="W29" s="90">
        <f>+'Tuition-2Yr'!W29+'State Appropriations-2Yr'!W29+'Local Appropriations-2Yr'!W29+'Fed Contracts Grnts-2Yr'!W29+'Other Contracts Grnts-2Yr'!W29+'Investment Income-2Yr'!W29+'All Other E&amp;G-2Yr'!W29</f>
        <v>143890.37099999998</v>
      </c>
      <c r="X29" s="90">
        <f>+'Tuition-2Yr'!X29+'State Appropriations-2Yr'!X29+'Local Appropriations-2Yr'!X29+'Fed Contracts Grnts-2Yr'!X29+'Other Contracts Grnts-2Yr'!X29+'Investment Income-2Yr'!X29+'All Other E&amp;G-2Yr'!X29</f>
        <v>154408.628</v>
      </c>
      <c r="Y29" s="90">
        <f>+'Tuition-2Yr'!Y29+'State Appropriations-2Yr'!Y29+'Local Appropriations-2Yr'!Y29+'Fed Contracts Grnts-2Yr'!Y29+'Other Contracts Grnts-2Yr'!Y29+'Investment Income-2Yr'!Y29+'All Other E&amp;G-2Yr'!Y29</f>
        <v>174516.84900000002</v>
      </c>
      <c r="Z29" s="90">
        <f>+'Tuition-2Yr'!Z29+'State Appropriations-2Yr'!Z29+'Local Appropriations-2Yr'!Z29+'Fed Contracts Grnts-2Yr'!Z29+'Other Contracts Grnts-2Yr'!Z29+'Investment Income-2Yr'!Z29+'All Other E&amp;G-2Yr'!Z29</f>
        <v>196072.86000000002</v>
      </c>
      <c r="AA29" s="90">
        <f>+'Tuition-2Yr'!AA29+'State Appropriations-2Yr'!AA29+'Local Appropriations-2Yr'!AA29+'Fed Contracts Grnts-2Yr'!AA29+'Other Contracts Grnts-2Yr'!AA29+'Investment Income-2Yr'!AA29+'All Other E&amp;G-2Yr'!AA29</f>
        <v>274161.79800000001</v>
      </c>
      <c r="AB29" s="90">
        <f>+'Tuition-2Yr'!AB29+'State Appropriations-2Yr'!AB29+'Local Appropriations-2Yr'!AB29+'Fed Contracts Grnts-2Yr'!AB29+'Other Contracts Grnts-2Yr'!AB29+'Investment Income-2Yr'!AB29+'All Other E&amp;G-2Yr'!AB29</f>
        <v>256815.40000000002</v>
      </c>
      <c r="AC29" s="90">
        <f>+'Tuition-2Yr'!AC29+'State Appropriations-2Yr'!AC29+'Local Appropriations-2Yr'!AC29+'Fed Contracts Grnts-2Yr'!AC29+'Other Contracts Grnts-2Yr'!AC29+'Investment Income-2Yr'!AC29+'All Other E&amp;G-2Yr'!AC29</f>
        <v>283682</v>
      </c>
      <c r="AD29" s="90">
        <f>+'Tuition-2Yr'!AD29+'State Appropriations-2Yr'!AD29+'Local Appropriations-2Yr'!AD29+'Fed Contracts Grnts-2Yr'!AD29+'Other Contracts Grnts-2Yr'!AD29+'Investment Income-2Yr'!AD29+'All Other E&amp;G-2Yr'!AD29</f>
        <v>294652.03499999997</v>
      </c>
      <c r="AE29" s="90">
        <f>+'Tuition-2Yr'!AE29+'State Appropriations-2Yr'!AE29+'Local Appropriations-2Yr'!AE29+'Fed Contracts Grnts-2Yr'!AE29+'Other Contracts Grnts-2Yr'!AE29+'Investment Income-2Yr'!AE29+'All Other E&amp;G-2Yr'!AE29</f>
        <v>300454.484</v>
      </c>
      <c r="AF29" s="90">
        <f>+'Tuition-2Yr'!AF29+'State Appropriations-2Yr'!AF29+'Local Appropriations-2Yr'!AF29+'Fed Contracts Grnts-2Yr'!AF29+'Other Contracts Grnts-2Yr'!AF29+'Investment Income-2Yr'!AF29+'All Other E&amp;G-2Yr'!AF29</f>
        <v>313029.69000000006</v>
      </c>
      <c r="AG29" s="90">
        <f>+'Tuition-2Yr'!AG29+'State Appropriations-2Yr'!AG29+'Local Appropriations-2Yr'!AG29+'Fed Contracts Grnts-2Yr'!AG29+'Other Contracts Grnts-2Yr'!AG29+'Investment Income-2Yr'!AG29+'All Other E&amp;G-2Yr'!AG29</f>
        <v>324309.11</v>
      </c>
      <c r="AH29" s="90">
        <f>+'Tuition-2Yr'!AH29+'State Appropriations-2Yr'!AH29+'Local Appropriations-2Yr'!AH29+'Fed Contracts Grnts-2Yr'!AH29+'Other Contracts Grnts-2Yr'!AH29+'Investment Income-2Yr'!AH29+'All Other E&amp;G-2Yr'!AH29</f>
        <v>330021.55499999993</v>
      </c>
      <c r="AI29" s="90">
        <f>+'Tuition-2Yr'!AI29+'State Appropriations-2Yr'!AI29+'Local Appropriations-2Yr'!AI29+'Fed Contracts Grnts-2Yr'!AI29+'Other Contracts Grnts-2Yr'!AI29+'Investment Income-2Yr'!AI29+'All Other E&amp;G-2Yr'!AI29</f>
        <v>337960.87300000002</v>
      </c>
      <c r="AJ29" s="90">
        <f>+'Tuition-2Yr'!AJ29+'State Appropriations-2Yr'!AJ29+'Local Appropriations-2Yr'!AJ29+'Fed Contracts Grnts-2Yr'!AJ29+'Other Contracts Grnts-2Yr'!AJ29+'Investment Income-2Yr'!AJ29+'All Other E&amp;G-2Yr'!AJ29</f>
        <v>0</v>
      </c>
      <c r="AK29" s="90">
        <f>+'Tuition-2Yr'!AK29+'State Appropriations-2Yr'!AK29+'Local Appropriations-2Yr'!AK29+'Fed Contracts Grnts-2Yr'!AK29+'Other Contracts Grnts-2Yr'!AK29+'Investment Income-2Yr'!AK29+'All Other E&amp;G-2Yr'!AK29</f>
        <v>374411.15300000005</v>
      </c>
    </row>
    <row r="30" spans="1:37" ht="12.75" customHeight="1">
      <c r="A30" s="1" t="s">
        <v>43</v>
      </c>
      <c r="B30" s="90">
        <f>+'Tuition-2Yr'!B30+'State Appropriations-2Yr'!B30+'Local Appropriations-2Yr'!B30+'Fed Contracts Grnts-2Yr'!B30+'Other Contracts Grnts-2Yr'!B30+'Investment Income-2Yr'!B30+'All Other E&amp;G-2Yr'!B30</f>
        <v>0</v>
      </c>
      <c r="C30" s="90">
        <f>+'Tuition-2Yr'!C30+'State Appropriations-2Yr'!C30+'Local Appropriations-2Yr'!C30+'Fed Contracts Grnts-2Yr'!C30+'Other Contracts Grnts-2Yr'!C30+'Investment Income-2Yr'!C30+'All Other E&amp;G-2Yr'!C30</f>
        <v>0</v>
      </c>
      <c r="D30" s="90">
        <f>+'Tuition-2Yr'!D30+'State Appropriations-2Yr'!D30+'Local Appropriations-2Yr'!D30+'Fed Contracts Grnts-2Yr'!D30+'Other Contracts Grnts-2Yr'!D30+'Investment Income-2Yr'!D30+'All Other E&amp;G-2Yr'!D30</f>
        <v>0</v>
      </c>
      <c r="E30" s="90">
        <f>+'Tuition-2Yr'!E30+'State Appropriations-2Yr'!E30+'Local Appropriations-2Yr'!E30+'Fed Contracts Grnts-2Yr'!E30+'Other Contracts Grnts-2Yr'!E30+'Investment Income-2Yr'!E30+'All Other E&amp;G-2Yr'!E30</f>
        <v>0</v>
      </c>
      <c r="F30" s="90">
        <f>+'Tuition-2Yr'!F30+'State Appropriations-2Yr'!F30+'Local Appropriations-2Yr'!F30+'Fed Contracts Grnts-2Yr'!F30+'Other Contracts Grnts-2Yr'!F30+'Investment Income-2Yr'!F30+'All Other E&amp;G-2Yr'!F30</f>
        <v>0</v>
      </c>
      <c r="G30" s="90">
        <f>+'Tuition-2Yr'!G30+'State Appropriations-2Yr'!G30+'Local Appropriations-2Yr'!G30+'Fed Contracts Grnts-2Yr'!G30+'Other Contracts Grnts-2Yr'!G30+'Investment Income-2Yr'!G30+'All Other E&amp;G-2Yr'!G30</f>
        <v>0</v>
      </c>
      <c r="H30" s="90">
        <f>+'Tuition-2Yr'!H30+'State Appropriations-2Yr'!H30+'Local Appropriations-2Yr'!H30+'Fed Contracts Grnts-2Yr'!H30+'Other Contracts Grnts-2Yr'!H30+'Investment Income-2Yr'!H30+'All Other E&amp;G-2Yr'!H30</f>
        <v>0</v>
      </c>
      <c r="I30" s="90">
        <f>+'Tuition-2Yr'!I30+'State Appropriations-2Yr'!I30+'Local Appropriations-2Yr'!I30+'Fed Contracts Grnts-2Yr'!I30+'Other Contracts Grnts-2Yr'!I30+'Investment Income-2Yr'!I30+'All Other E&amp;G-2Yr'!I30</f>
        <v>0</v>
      </c>
      <c r="J30" s="90">
        <f>+'Tuition-2Yr'!J30+'State Appropriations-2Yr'!J30+'Local Appropriations-2Yr'!J30+'Fed Contracts Grnts-2Yr'!J30+'Other Contracts Grnts-2Yr'!J30+'Investment Income-2Yr'!J30+'All Other E&amp;G-2Yr'!J30</f>
        <v>41106.563999999998</v>
      </c>
      <c r="K30" s="90">
        <f>+'Tuition-2Yr'!K30+'State Appropriations-2Yr'!K30+'Local Appropriations-2Yr'!K30+'Fed Contracts Grnts-2Yr'!K30+'Other Contracts Grnts-2Yr'!K30+'Investment Income-2Yr'!K30+'All Other E&amp;G-2Yr'!K30</f>
        <v>0</v>
      </c>
      <c r="L30" s="90">
        <f>+'Tuition-2Yr'!L30+'State Appropriations-2Yr'!L30+'Local Appropriations-2Yr'!L30+'Fed Contracts Grnts-2Yr'!L30+'Other Contracts Grnts-2Yr'!L30+'Investment Income-2Yr'!L30+'All Other E&amp;G-2Yr'!L30</f>
        <v>0</v>
      </c>
      <c r="M30" s="90">
        <f>+'Tuition-2Yr'!M30+'State Appropriations-2Yr'!M30+'Local Appropriations-2Yr'!M30+'Fed Contracts Grnts-2Yr'!M30+'Other Contracts Grnts-2Yr'!M30+'Investment Income-2Yr'!M30+'All Other E&amp;G-2Yr'!M30</f>
        <v>48179.661</v>
      </c>
      <c r="N30" s="90">
        <f>+'Tuition-2Yr'!N30+'State Appropriations-2Yr'!N30+'Local Appropriations-2Yr'!N30+'Fed Contracts Grnts-2Yr'!N30+'Other Contracts Grnts-2Yr'!N30+'Investment Income-2Yr'!N30+'All Other E&amp;G-2Yr'!N30</f>
        <v>0</v>
      </c>
      <c r="O30" s="90">
        <f>+'Tuition-2Yr'!O30+'State Appropriations-2Yr'!O30+'Local Appropriations-2Yr'!O30+'Fed Contracts Grnts-2Yr'!O30+'Other Contracts Grnts-2Yr'!O30+'Investment Income-2Yr'!O30+'All Other E&amp;G-2Yr'!O30</f>
        <v>65361.705999999998</v>
      </c>
      <c r="P30" s="90">
        <f>+'Tuition-2Yr'!P30+'State Appropriations-2Yr'!P30+'Local Appropriations-2Yr'!P30+'Fed Contracts Grnts-2Yr'!P30+'Other Contracts Grnts-2Yr'!P30+'Investment Income-2Yr'!P30+'All Other E&amp;G-2Yr'!P30</f>
        <v>0</v>
      </c>
      <c r="Q30" s="90">
        <f>+'Tuition-2Yr'!Q30+'State Appropriations-2Yr'!Q30+'Local Appropriations-2Yr'!Q30+'Fed Contracts Grnts-2Yr'!Q30+'Other Contracts Grnts-2Yr'!Q30+'Investment Income-2Yr'!Q30+'All Other E&amp;G-2Yr'!Q30</f>
        <v>0</v>
      </c>
      <c r="R30" s="90">
        <f>+'Tuition-2Yr'!R30+'State Appropriations-2Yr'!R30+'Local Appropriations-2Yr'!R30+'Fed Contracts Grnts-2Yr'!R30+'Other Contracts Grnts-2Yr'!R30+'Investment Income-2Yr'!R30+'All Other E&amp;G-2Yr'!R30</f>
        <v>78495.98</v>
      </c>
      <c r="S30" s="90">
        <f>+'Tuition-2Yr'!S30+'State Appropriations-2Yr'!S30+'Local Appropriations-2Yr'!S30+'Fed Contracts Grnts-2Yr'!S30+'Other Contracts Grnts-2Yr'!S30+'Investment Income-2Yr'!S30+'All Other E&amp;G-2Yr'!S30</f>
        <v>85424.061999999991</v>
      </c>
      <c r="T30" s="90">
        <f>+'Tuition-2Yr'!T30+'State Appropriations-2Yr'!T30+'Local Appropriations-2Yr'!T30+'Fed Contracts Grnts-2Yr'!T30+'Other Contracts Grnts-2Yr'!T30+'Investment Income-2Yr'!T30+'All Other E&amp;G-2Yr'!T30</f>
        <v>86331.890999999989</v>
      </c>
      <c r="U30" s="90">
        <f>+'Tuition-2Yr'!U30+'State Appropriations-2Yr'!U30+'Local Appropriations-2Yr'!U30+'Fed Contracts Grnts-2Yr'!U30+'Other Contracts Grnts-2Yr'!U30+'Investment Income-2Yr'!U30+'All Other E&amp;G-2Yr'!U30</f>
        <v>92579.236999999994</v>
      </c>
      <c r="V30" s="90">
        <f>+'Tuition-2Yr'!V30+'State Appropriations-2Yr'!V30+'Local Appropriations-2Yr'!V30+'Fed Contracts Grnts-2Yr'!V30+'Other Contracts Grnts-2Yr'!V30+'Investment Income-2Yr'!V30+'All Other E&amp;G-2Yr'!V30</f>
        <v>103944.833</v>
      </c>
      <c r="W30" s="90">
        <f>+'Tuition-2Yr'!W30+'State Appropriations-2Yr'!W30+'Local Appropriations-2Yr'!W30+'Fed Contracts Grnts-2Yr'!W30+'Other Contracts Grnts-2Yr'!W30+'Investment Income-2Yr'!W30+'All Other E&amp;G-2Yr'!W30</f>
        <v>126113.34000000001</v>
      </c>
      <c r="X30" s="90">
        <f>+'Tuition-2Yr'!X30+'State Appropriations-2Yr'!X30+'Local Appropriations-2Yr'!X30+'Fed Contracts Grnts-2Yr'!X30+'Other Contracts Grnts-2Yr'!X30+'Investment Income-2Yr'!X30+'All Other E&amp;G-2Yr'!X30</f>
        <v>109260.50600000001</v>
      </c>
      <c r="Y30" s="90">
        <f>+'Tuition-2Yr'!Y30+'State Appropriations-2Yr'!Y30+'Local Appropriations-2Yr'!Y30+'Fed Contracts Grnts-2Yr'!Y30+'Other Contracts Grnts-2Yr'!Y30+'Investment Income-2Yr'!Y30+'All Other E&amp;G-2Yr'!Y30</f>
        <v>112484.57500000001</v>
      </c>
      <c r="Z30" s="90">
        <f>+'Tuition-2Yr'!Z30+'State Appropriations-2Yr'!Z30+'Local Appropriations-2Yr'!Z30+'Fed Contracts Grnts-2Yr'!Z30+'Other Contracts Grnts-2Yr'!Z30+'Investment Income-2Yr'!Z30+'All Other E&amp;G-2Yr'!Z30</f>
        <v>121296.35800000001</v>
      </c>
      <c r="AA30" s="90">
        <f>+'Tuition-2Yr'!AA30+'State Appropriations-2Yr'!AA30+'Local Appropriations-2Yr'!AA30+'Fed Contracts Grnts-2Yr'!AA30+'Other Contracts Grnts-2Yr'!AA30+'Investment Income-2Yr'!AA30+'All Other E&amp;G-2Yr'!AA30</f>
        <v>152986.32700000002</v>
      </c>
      <c r="AB30" s="90">
        <f>+'Tuition-2Yr'!AB30+'State Appropriations-2Yr'!AB30+'Local Appropriations-2Yr'!AB30+'Fed Contracts Grnts-2Yr'!AB30+'Other Contracts Grnts-2Yr'!AB30+'Investment Income-2Yr'!AB30+'All Other E&amp;G-2Yr'!AB30</f>
        <v>201044.46799999999</v>
      </c>
      <c r="AC30" s="90">
        <f>+'Tuition-2Yr'!AC30+'State Appropriations-2Yr'!AC30+'Local Appropriations-2Yr'!AC30+'Fed Contracts Grnts-2Yr'!AC30+'Other Contracts Grnts-2Yr'!AC30+'Investment Income-2Yr'!AC30+'All Other E&amp;G-2Yr'!AC30</f>
        <v>234376</v>
      </c>
      <c r="AD30" s="90">
        <f>+'Tuition-2Yr'!AD30+'State Appropriations-2Yr'!AD30+'Local Appropriations-2Yr'!AD30+'Fed Contracts Grnts-2Yr'!AD30+'Other Contracts Grnts-2Yr'!AD30+'Investment Income-2Yr'!AD30+'All Other E&amp;G-2Yr'!AD30</f>
        <v>299534.71000000002</v>
      </c>
      <c r="AE30" s="90">
        <f>+'Tuition-2Yr'!AE30+'State Appropriations-2Yr'!AE30+'Local Appropriations-2Yr'!AE30+'Fed Contracts Grnts-2Yr'!AE30+'Other Contracts Grnts-2Yr'!AE30+'Investment Income-2Yr'!AE30+'All Other E&amp;G-2Yr'!AE30</f>
        <v>235630.87700000004</v>
      </c>
      <c r="AF30" s="90">
        <f>+'Tuition-2Yr'!AF30+'State Appropriations-2Yr'!AF30+'Local Appropriations-2Yr'!AF30+'Fed Contracts Grnts-2Yr'!AF30+'Other Contracts Grnts-2Yr'!AF30+'Investment Income-2Yr'!AF30+'All Other E&amp;G-2Yr'!AF30</f>
        <v>227440.93900000001</v>
      </c>
      <c r="AG30" s="90">
        <f>+'Tuition-2Yr'!AG30+'State Appropriations-2Yr'!AG30+'Local Appropriations-2Yr'!AG30+'Fed Contracts Grnts-2Yr'!AG30+'Other Contracts Grnts-2Yr'!AG30+'Investment Income-2Yr'!AG30+'All Other E&amp;G-2Yr'!AG30</f>
        <v>214669.55300000001</v>
      </c>
      <c r="AH30" s="90">
        <f>+'Tuition-2Yr'!AH30+'State Appropriations-2Yr'!AH30+'Local Appropriations-2Yr'!AH30+'Fed Contracts Grnts-2Yr'!AH30+'Other Contracts Grnts-2Yr'!AH30+'Investment Income-2Yr'!AH30+'All Other E&amp;G-2Yr'!AH30</f>
        <v>224454.65299999996</v>
      </c>
      <c r="AI30" s="90">
        <f>+'Tuition-2Yr'!AI30+'State Appropriations-2Yr'!AI30+'Local Appropriations-2Yr'!AI30+'Fed Contracts Grnts-2Yr'!AI30+'Other Contracts Grnts-2Yr'!AI30+'Investment Income-2Yr'!AI30+'All Other E&amp;G-2Yr'!AI30</f>
        <v>233071.11</v>
      </c>
      <c r="AJ30" s="90">
        <f>+'Tuition-2Yr'!AJ30+'State Appropriations-2Yr'!AJ30+'Local Appropriations-2Yr'!AJ30+'Fed Contracts Grnts-2Yr'!AJ30+'Other Contracts Grnts-2Yr'!AJ30+'Investment Income-2Yr'!AJ30+'All Other E&amp;G-2Yr'!AJ30</f>
        <v>0</v>
      </c>
      <c r="AK30" s="90">
        <f>+'Tuition-2Yr'!AK30+'State Appropriations-2Yr'!AK30+'Local Appropriations-2Yr'!AK30+'Fed Contracts Grnts-2Yr'!AK30+'Other Contracts Grnts-2Yr'!AK30+'Investment Income-2Yr'!AK30+'All Other E&amp;G-2Yr'!AK30</f>
        <v>277942.21600000001</v>
      </c>
    </row>
    <row r="31" spans="1:37" ht="12.75" customHeight="1">
      <c r="A31" s="1" t="s">
        <v>44</v>
      </c>
      <c r="B31" s="90">
        <f>+'Tuition-2Yr'!B31+'State Appropriations-2Yr'!B31+'Local Appropriations-2Yr'!B31+'Fed Contracts Grnts-2Yr'!B31+'Other Contracts Grnts-2Yr'!B31+'Investment Income-2Yr'!B31+'All Other E&amp;G-2Yr'!B31</f>
        <v>0</v>
      </c>
      <c r="C31" s="90">
        <f>+'Tuition-2Yr'!C31+'State Appropriations-2Yr'!C31+'Local Appropriations-2Yr'!C31+'Fed Contracts Grnts-2Yr'!C31+'Other Contracts Grnts-2Yr'!C31+'Investment Income-2Yr'!C31+'All Other E&amp;G-2Yr'!C31</f>
        <v>0</v>
      </c>
      <c r="D31" s="90">
        <f>+'Tuition-2Yr'!D31+'State Appropriations-2Yr'!D31+'Local Appropriations-2Yr'!D31+'Fed Contracts Grnts-2Yr'!D31+'Other Contracts Grnts-2Yr'!D31+'Investment Income-2Yr'!D31+'All Other E&amp;G-2Yr'!D31</f>
        <v>0</v>
      </c>
      <c r="E31" s="90">
        <f>+'Tuition-2Yr'!E31+'State Appropriations-2Yr'!E31+'Local Appropriations-2Yr'!E31+'Fed Contracts Grnts-2Yr'!E31+'Other Contracts Grnts-2Yr'!E31+'Investment Income-2Yr'!E31+'All Other E&amp;G-2Yr'!E31</f>
        <v>0</v>
      </c>
      <c r="F31" s="90">
        <f>+'Tuition-2Yr'!F31+'State Appropriations-2Yr'!F31+'Local Appropriations-2Yr'!F31+'Fed Contracts Grnts-2Yr'!F31+'Other Contracts Grnts-2Yr'!F31+'Investment Income-2Yr'!F31+'All Other E&amp;G-2Yr'!F31</f>
        <v>0</v>
      </c>
      <c r="G31" s="90">
        <f>+'Tuition-2Yr'!G31+'State Appropriations-2Yr'!G31+'Local Appropriations-2Yr'!G31+'Fed Contracts Grnts-2Yr'!G31+'Other Contracts Grnts-2Yr'!G31+'Investment Income-2Yr'!G31+'All Other E&amp;G-2Yr'!G31</f>
        <v>0</v>
      </c>
      <c r="H31" s="90">
        <f>+'Tuition-2Yr'!H31+'State Appropriations-2Yr'!H31+'Local Appropriations-2Yr'!H31+'Fed Contracts Grnts-2Yr'!H31+'Other Contracts Grnts-2Yr'!H31+'Investment Income-2Yr'!H31+'All Other E&amp;G-2Yr'!H31</f>
        <v>0</v>
      </c>
      <c r="I31" s="90">
        <f>+'Tuition-2Yr'!I31+'State Appropriations-2Yr'!I31+'Local Appropriations-2Yr'!I31+'Fed Contracts Grnts-2Yr'!I31+'Other Contracts Grnts-2Yr'!I31+'Investment Income-2Yr'!I31+'All Other E&amp;G-2Yr'!I31</f>
        <v>0</v>
      </c>
      <c r="J31" s="90">
        <f>+'Tuition-2Yr'!J31+'State Appropriations-2Yr'!J31+'Local Appropriations-2Yr'!J31+'Fed Contracts Grnts-2Yr'!J31+'Other Contracts Grnts-2Yr'!J31+'Investment Income-2Yr'!J31+'All Other E&amp;G-2Yr'!J31</f>
        <v>31128.776999999998</v>
      </c>
      <c r="K31" s="90">
        <f>+'Tuition-2Yr'!K31+'State Appropriations-2Yr'!K31+'Local Appropriations-2Yr'!K31+'Fed Contracts Grnts-2Yr'!K31+'Other Contracts Grnts-2Yr'!K31+'Investment Income-2Yr'!K31+'All Other E&amp;G-2Yr'!K31</f>
        <v>0</v>
      </c>
      <c r="L31" s="90">
        <f>+'Tuition-2Yr'!L31+'State Appropriations-2Yr'!L31+'Local Appropriations-2Yr'!L31+'Fed Contracts Grnts-2Yr'!L31+'Other Contracts Grnts-2Yr'!L31+'Investment Income-2Yr'!L31+'All Other E&amp;G-2Yr'!L31</f>
        <v>0</v>
      </c>
      <c r="M31" s="90">
        <f>+'Tuition-2Yr'!M31+'State Appropriations-2Yr'!M31+'Local Appropriations-2Yr'!M31+'Fed Contracts Grnts-2Yr'!M31+'Other Contracts Grnts-2Yr'!M31+'Investment Income-2Yr'!M31+'All Other E&amp;G-2Yr'!M31</f>
        <v>42065.528999999995</v>
      </c>
      <c r="N31" s="90">
        <f>+'Tuition-2Yr'!N31+'State Appropriations-2Yr'!N31+'Local Appropriations-2Yr'!N31+'Fed Contracts Grnts-2Yr'!N31+'Other Contracts Grnts-2Yr'!N31+'Investment Income-2Yr'!N31+'All Other E&amp;G-2Yr'!N31</f>
        <v>0</v>
      </c>
      <c r="O31" s="90">
        <f>+'Tuition-2Yr'!O31+'State Appropriations-2Yr'!O31+'Local Appropriations-2Yr'!O31+'Fed Contracts Grnts-2Yr'!O31+'Other Contracts Grnts-2Yr'!O31+'Investment Income-2Yr'!O31+'All Other E&amp;G-2Yr'!O31</f>
        <v>42177.51586</v>
      </c>
      <c r="P31" s="90">
        <f>+'Tuition-2Yr'!P31+'State Appropriations-2Yr'!P31+'Local Appropriations-2Yr'!P31+'Fed Contracts Grnts-2Yr'!P31+'Other Contracts Grnts-2Yr'!P31+'Investment Income-2Yr'!P31+'All Other E&amp;G-2Yr'!P31</f>
        <v>0</v>
      </c>
      <c r="Q31" s="90">
        <f>+'Tuition-2Yr'!Q31+'State Appropriations-2Yr'!Q31+'Local Appropriations-2Yr'!Q31+'Fed Contracts Grnts-2Yr'!Q31+'Other Contracts Grnts-2Yr'!Q31+'Investment Income-2Yr'!Q31+'All Other E&amp;G-2Yr'!Q31</f>
        <v>0</v>
      </c>
      <c r="R31" s="90">
        <f>+'Tuition-2Yr'!R31+'State Appropriations-2Yr'!R31+'Local Appropriations-2Yr'!R31+'Fed Contracts Grnts-2Yr'!R31+'Other Contracts Grnts-2Yr'!R31+'Investment Income-2Yr'!R31+'All Other E&amp;G-2Yr'!R31</f>
        <v>50345.332999999999</v>
      </c>
      <c r="S31" s="90">
        <f>+'Tuition-2Yr'!S31+'State Appropriations-2Yr'!S31+'Local Appropriations-2Yr'!S31+'Fed Contracts Grnts-2Yr'!S31+'Other Contracts Grnts-2Yr'!S31+'Investment Income-2Yr'!S31+'All Other E&amp;G-2Yr'!S31</f>
        <v>55560.563000000002</v>
      </c>
      <c r="T31" s="90">
        <f>+'Tuition-2Yr'!T31+'State Appropriations-2Yr'!T31+'Local Appropriations-2Yr'!T31+'Fed Contracts Grnts-2Yr'!T31+'Other Contracts Grnts-2Yr'!T31+'Investment Income-2Yr'!T31+'All Other E&amp;G-2Yr'!T31</f>
        <v>71752.285999999993</v>
      </c>
      <c r="U31" s="90">
        <f>+'Tuition-2Yr'!U31+'State Appropriations-2Yr'!U31+'Local Appropriations-2Yr'!U31+'Fed Contracts Grnts-2Yr'!U31+'Other Contracts Grnts-2Yr'!U31+'Investment Income-2Yr'!U31+'All Other E&amp;G-2Yr'!U31</f>
        <v>70953.964999999997</v>
      </c>
      <c r="V31" s="90">
        <f>+'Tuition-2Yr'!V31+'State Appropriations-2Yr'!V31+'Local Appropriations-2Yr'!V31+'Fed Contracts Grnts-2Yr'!V31+'Other Contracts Grnts-2Yr'!V31+'Investment Income-2Yr'!V31+'All Other E&amp;G-2Yr'!V31</f>
        <v>74701.725000000006</v>
      </c>
      <c r="W31" s="90">
        <f>+'Tuition-2Yr'!W31+'State Appropriations-2Yr'!W31+'Local Appropriations-2Yr'!W31+'Fed Contracts Grnts-2Yr'!W31+'Other Contracts Grnts-2Yr'!W31+'Investment Income-2Yr'!W31+'All Other E&amp;G-2Yr'!W31</f>
        <v>87956.112999999998</v>
      </c>
      <c r="X31" s="90">
        <f>+'Tuition-2Yr'!X31+'State Appropriations-2Yr'!X31+'Local Appropriations-2Yr'!X31+'Fed Contracts Grnts-2Yr'!X31+'Other Contracts Grnts-2Yr'!X31+'Investment Income-2Yr'!X31+'All Other E&amp;G-2Yr'!X31</f>
        <v>90351.650999999983</v>
      </c>
      <c r="Y31" s="90">
        <f>+'Tuition-2Yr'!Y31+'State Appropriations-2Yr'!Y31+'Local Appropriations-2Yr'!Y31+'Fed Contracts Grnts-2Yr'!Y31+'Other Contracts Grnts-2Yr'!Y31+'Investment Income-2Yr'!Y31+'All Other E&amp;G-2Yr'!Y31</f>
        <v>88085.607000000004</v>
      </c>
      <c r="Z31" s="90">
        <f>+'Tuition-2Yr'!Z31+'State Appropriations-2Yr'!Z31+'Local Appropriations-2Yr'!Z31+'Fed Contracts Grnts-2Yr'!Z31+'Other Contracts Grnts-2Yr'!Z31+'Investment Income-2Yr'!Z31+'All Other E&amp;G-2Yr'!Z31</f>
        <v>89928.746000000014</v>
      </c>
      <c r="AA31" s="90">
        <f>+'Tuition-2Yr'!AA31+'State Appropriations-2Yr'!AA31+'Local Appropriations-2Yr'!AA31+'Fed Contracts Grnts-2Yr'!AA31+'Other Contracts Grnts-2Yr'!AA31+'Investment Income-2Yr'!AA31+'All Other E&amp;G-2Yr'!AA31</f>
        <v>102901.26000000002</v>
      </c>
      <c r="AB31" s="90">
        <f>+'Tuition-2Yr'!AB31+'State Appropriations-2Yr'!AB31+'Local Appropriations-2Yr'!AB31+'Fed Contracts Grnts-2Yr'!AB31+'Other Contracts Grnts-2Yr'!AB31+'Investment Income-2Yr'!AB31+'All Other E&amp;G-2Yr'!AB31</f>
        <v>122049.637</v>
      </c>
      <c r="AC31" s="90">
        <f>+'Tuition-2Yr'!AC31+'State Appropriations-2Yr'!AC31+'Local Appropriations-2Yr'!AC31+'Fed Contracts Grnts-2Yr'!AC31+'Other Contracts Grnts-2Yr'!AC31+'Investment Income-2Yr'!AC31+'All Other E&amp;G-2Yr'!AC31</f>
        <v>124459</v>
      </c>
      <c r="AD31" s="90">
        <f>+'Tuition-2Yr'!AD31+'State Appropriations-2Yr'!AD31+'Local Appropriations-2Yr'!AD31+'Fed Contracts Grnts-2Yr'!AD31+'Other Contracts Grnts-2Yr'!AD31+'Investment Income-2Yr'!AD31+'All Other E&amp;G-2Yr'!AD31</f>
        <v>131187.511</v>
      </c>
      <c r="AE31" s="90">
        <f>+'Tuition-2Yr'!AE31+'State Appropriations-2Yr'!AE31+'Local Appropriations-2Yr'!AE31+'Fed Contracts Grnts-2Yr'!AE31+'Other Contracts Grnts-2Yr'!AE31+'Investment Income-2Yr'!AE31+'All Other E&amp;G-2Yr'!AE31</f>
        <v>120031.95600000001</v>
      </c>
      <c r="AF31" s="90">
        <f>+'Tuition-2Yr'!AF31+'State Appropriations-2Yr'!AF31+'Local Appropriations-2Yr'!AF31+'Fed Contracts Grnts-2Yr'!AF31+'Other Contracts Grnts-2Yr'!AF31+'Investment Income-2Yr'!AF31+'All Other E&amp;G-2Yr'!AF31</f>
        <v>117898.254</v>
      </c>
      <c r="AG31" s="90">
        <f>+'Tuition-2Yr'!AG31+'State Appropriations-2Yr'!AG31+'Local Appropriations-2Yr'!AG31+'Fed Contracts Grnts-2Yr'!AG31+'Other Contracts Grnts-2Yr'!AG31+'Investment Income-2Yr'!AG31+'All Other E&amp;G-2Yr'!AG31</f>
        <v>115879.908</v>
      </c>
      <c r="AH31" s="90">
        <f>+'Tuition-2Yr'!AH31+'State Appropriations-2Yr'!AH31+'Local Appropriations-2Yr'!AH31+'Fed Contracts Grnts-2Yr'!AH31+'Other Contracts Grnts-2Yr'!AH31+'Investment Income-2Yr'!AH31+'All Other E&amp;G-2Yr'!AH31</f>
        <v>122718.712</v>
      </c>
      <c r="AI31" s="90">
        <f>+'Tuition-2Yr'!AI31+'State Appropriations-2Yr'!AI31+'Local Appropriations-2Yr'!AI31+'Fed Contracts Grnts-2Yr'!AI31+'Other Contracts Grnts-2Yr'!AI31+'Investment Income-2Yr'!AI31+'All Other E&amp;G-2Yr'!AI31</f>
        <v>120489.68900000001</v>
      </c>
      <c r="AJ31" s="90">
        <f>+'Tuition-2Yr'!AJ31+'State Appropriations-2Yr'!AJ31+'Local Appropriations-2Yr'!AJ31+'Fed Contracts Grnts-2Yr'!AJ31+'Other Contracts Grnts-2Yr'!AJ31+'Investment Income-2Yr'!AJ31+'All Other E&amp;G-2Yr'!AJ31</f>
        <v>0</v>
      </c>
      <c r="AK31" s="90">
        <f>+'Tuition-2Yr'!AK31+'State Appropriations-2Yr'!AK31+'Local Appropriations-2Yr'!AK31+'Fed Contracts Grnts-2Yr'!AK31+'Other Contracts Grnts-2Yr'!AK31+'Investment Income-2Yr'!AK31+'All Other E&amp;G-2Yr'!AK31</f>
        <v>128044.488</v>
      </c>
    </row>
    <row r="32" spans="1:37" ht="12.75" customHeight="1">
      <c r="A32" s="1" t="s">
        <v>45</v>
      </c>
      <c r="B32" s="90">
        <f>+'Tuition-2Yr'!B32+'State Appropriations-2Yr'!B32+'Local Appropriations-2Yr'!B32+'Fed Contracts Grnts-2Yr'!B32+'Other Contracts Grnts-2Yr'!B32+'Investment Income-2Yr'!B32+'All Other E&amp;G-2Yr'!B32</f>
        <v>0</v>
      </c>
      <c r="C32" s="90">
        <f>+'Tuition-2Yr'!C32+'State Appropriations-2Yr'!C32+'Local Appropriations-2Yr'!C32+'Fed Contracts Grnts-2Yr'!C32+'Other Contracts Grnts-2Yr'!C32+'Investment Income-2Yr'!C32+'All Other E&amp;G-2Yr'!C32</f>
        <v>0</v>
      </c>
      <c r="D32" s="90">
        <f>+'Tuition-2Yr'!D32+'State Appropriations-2Yr'!D32+'Local Appropriations-2Yr'!D32+'Fed Contracts Grnts-2Yr'!D32+'Other Contracts Grnts-2Yr'!D32+'Investment Income-2Yr'!D32+'All Other E&amp;G-2Yr'!D32</f>
        <v>0</v>
      </c>
      <c r="E32" s="90">
        <f>+'Tuition-2Yr'!E32+'State Appropriations-2Yr'!E32+'Local Appropriations-2Yr'!E32+'Fed Contracts Grnts-2Yr'!E32+'Other Contracts Grnts-2Yr'!E32+'Investment Income-2Yr'!E32+'All Other E&amp;G-2Yr'!E32</f>
        <v>0</v>
      </c>
      <c r="F32" s="90">
        <f>+'Tuition-2Yr'!F32+'State Appropriations-2Yr'!F32+'Local Appropriations-2Yr'!F32+'Fed Contracts Grnts-2Yr'!F32+'Other Contracts Grnts-2Yr'!F32+'Investment Income-2Yr'!F32+'All Other E&amp;G-2Yr'!F32</f>
        <v>0</v>
      </c>
      <c r="G32" s="90">
        <f>+'Tuition-2Yr'!G32+'State Appropriations-2Yr'!G32+'Local Appropriations-2Yr'!G32+'Fed Contracts Grnts-2Yr'!G32+'Other Contracts Grnts-2Yr'!G32+'Investment Income-2Yr'!G32+'All Other E&amp;G-2Yr'!G32</f>
        <v>0</v>
      </c>
      <c r="H32" s="90">
        <f>+'Tuition-2Yr'!H32+'State Appropriations-2Yr'!H32+'Local Appropriations-2Yr'!H32+'Fed Contracts Grnts-2Yr'!H32+'Other Contracts Grnts-2Yr'!H32+'Investment Income-2Yr'!H32+'All Other E&amp;G-2Yr'!H32</f>
        <v>0</v>
      </c>
      <c r="I32" s="90">
        <f>+'Tuition-2Yr'!I32+'State Appropriations-2Yr'!I32+'Local Appropriations-2Yr'!I32+'Fed Contracts Grnts-2Yr'!I32+'Other Contracts Grnts-2Yr'!I32+'Investment Income-2Yr'!I32+'All Other E&amp;G-2Yr'!I32</f>
        <v>0</v>
      </c>
      <c r="J32" s="90">
        <f>+'Tuition-2Yr'!J32+'State Appropriations-2Yr'!J32+'Local Appropriations-2Yr'!J32+'Fed Contracts Grnts-2Yr'!J32+'Other Contracts Grnts-2Yr'!J32+'Investment Income-2Yr'!J32+'All Other E&amp;G-2Yr'!J32</f>
        <v>63808.42</v>
      </c>
      <c r="K32" s="90">
        <f>+'Tuition-2Yr'!K32+'State Appropriations-2Yr'!K32+'Local Appropriations-2Yr'!K32+'Fed Contracts Grnts-2Yr'!K32+'Other Contracts Grnts-2Yr'!K32+'Investment Income-2Yr'!K32+'All Other E&amp;G-2Yr'!K32</f>
        <v>0</v>
      </c>
      <c r="L32" s="90">
        <f>+'Tuition-2Yr'!L32+'State Appropriations-2Yr'!L32+'Local Appropriations-2Yr'!L32+'Fed Contracts Grnts-2Yr'!L32+'Other Contracts Grnts-2Yr'!L32+'Investment Income-2Yr'!L32+'All Other E&amp;G-2Yr'!L32</f>
        <v>0</v>
      </c>
      <c r="M32" s="90">
        <f>+'Tuition-2Yr'!M32+'State Appropriations-2Yr'!M32+'Local Appropriations-2Yr'!M32+'Fed Contracts Grnts-2Yr'!M32+'Other Contracts Grnts-2Yr'!M32+'Investment Income-2Yr'!M32+'All Other E&amp;G-2Yr'!M32</f>
        <v>76538.998000000007</v>
      </c>
      <c r="N32" s="90">
        <f>+'Tuition-2Yr'!N32+'State Appropriations-2Yr'!N32+'Local Appropriations-2Yr'!N32+'Fed Contracts Grnts-2Yr'!N32+'Other Contracts Grnts-2Yr'!N32+'Investment Income-2Yr'!N32+'All Other E&amp;G-2Yr'!N32</f>
        <v>0</v>
      </c>
      <c r="O32" s="90">
        <f>+'Tuition-2Yr'!O32+'State Appropriations-2Yr'!O32+'Local Appropriations-2Yr'!O32+'Fed Contracts Grnts-2Yr'!O32+'Other Contracts Grnts-2Yr'!O32+'Investment Income-2Yr'!O32+'All Other E&amp;G-2Yr'!O32</f>
        <v>99172</v>
      </c>
      <c r="P32" s="90">
        <f>+'Tuition-2Yr'!P32+'State Appropriations-2Yr'!P32+'Local Appropriations-2Yr'!P32+'Fed Contracts Grnts-2Yr'!P32+'Other Contracts Grnts-2Yr'!P32+'Investment Income-2Yr'!P32+'All Other E&amp;G-2Yr'!P32</f>
        <v>0</v>
      </c>
      <c r="Q32" s="90">
        <f>+'Tuition-2Yr'!Q32+'State Appropriations-2Yr'!Q32+'Local Appropriations-2Yr'!Q32+'Fed Contracts Grnts-2Yr'!Q32+'Other Contracts Grnts-2Yr'!Q32+'Investment Income-2Yr'!Q32+'All Other E&amp;G-2Yr'!Q32</f>
        <v>0</v>
      </c>
      <c r="R32" s="90">
        <f>+'Tuition-2Yr'!R32+'State Appropriations-2Yr'!R32+'Local Appropriations-2Yr'!R32+'Fed Contracts Grnts-2Yr'!R32+'Other Contracts Grnts-2Yr'!R32+'Investment Income-2Yr'!R32+'All Other E&amp;G-2Yr'!R32</f>
        <v>143420</v>
      </c>
      <c r="S32" s="90">
        <f>+'Tuition-2Yr'!S32+'State Appropriations-2Yr'!S32+'Local Appropriations-2Yr'!S32+'Fed Contracts Grnts-2Yr'!S32+'Other Contracts Grnts-2Yr'!S32+'Investment Income-2Yr'!S32+'All Other E&amp;G-2Yr'!S32</f>
        <v>156015</v>
      </c>
      <c r="T32" s="90">
        <f>+'Tuition-2Yr'!T32+'State Appropriations-2Yr'!T32+'Local Appropriations-2Yr'!T32+'Fed Contracts Grnts-2Yr'!T32+'Other Contracts Grnts-2Yr'!T32+'Investment Income-2Yr'!T32+'All Other E&amp;G-2Yr'!T32</f>
        <v>173024</v>
      </c>
      <c r="U32" s="90">
        <f>+'Tuition-2Yr'!U32+'State Appropriations-2Yr'!U32+'Local Appropriations-2Yr'!U32+'Fed Contracts Grnts-2Yr'!U32+'Other Contracts Grnts-2Yr'!U32+'Investment Income-2Yr'!U32+'All Other E&amp;G-2Yr'!U32</f>
        <v>177012</v>
      </c>
      <c r="V32" s="90">
        <f>+'Tuition-2Yr'!V32+'State Appropriations-2Yr'!V32+'Local Appropriations-2Yr'!V32+'Fed Contracts Grnts-2Yr'!V32+'Other Contracts Grnts-2Yr'!V32+'Investment Income-2Yr'!V32+'All Other E&amp;G-2Yr'!V32</f>
        <v>72834</v>
      </c>
      <c r="W32" s="90">
        <f>+'Tuition-2Yr'!W32+'State Appropriations-2Yr'!W32+'Local Appropriations-2Yr'!W32+'Fed Contracts Grnts-2Yr'!W32+'Other Contracts Grnts-2Yr'!W32+'Investment Income-2Yr'!W32+'All Other E&amp;G-2Yr'!W32</f>
        <v>78727.002999999997</v>
      </c>
      <c r="X32" s="90">
        <f>+'Tuition-2Yr'!X32+'State Appropriations-2Yr'!X32+'Local Appropriations-2Yr'!X32+'Fed Contracts Grnts-2Yr'!X32+'Other Contracts Grnts-2Yr'!X32+'Investment Income-2Yr'!X32+'All Other E&amp;G-2Yr'!X32</f>
        <v>82181</v>
      </c>
      <c r="Y32" s="90">
        <f>+'Tuition-2Yr'!Y32+'State Appropriations-2Yr'!Y32+'Local Appropriations-2Yr'!Y32+'Fed Contracts Grnts-2Yr'!Y32+'Other Contracts Grnts-2Yr'!Y32+'Investment Income-2Yr'!Y32+'All Other E&amp;G-2Yr'!Y32</f>
        <v>59459</v>
      </c>
      <c r="Z32" s="90">
        <f>+'Tuition-2Yr'!Z32+'State Appropriations-2Yr'!Z32+'Local Appropriations-2Yr'!Z32+'Fed Contracts Grnts-2Yr'!Z32+'Other Contracts Grnts-2Yr'!Z32+'Investment Income-2Yr'!Z32+'All Other E&amp;G-2Yr'!Z32</f>
        <v>62139</v>
      </c>
      <c r="AA32" s="90">
        <f>+'Tuition-2Yr'!AA32+'State Appropriations-2Yr'!AA32+'Local Appropriations-2Yr'!AA32+'Fed Contracts Grnts-2Yr'!AA32+'Other Contracts Grnts-2Yr'!AA32+'Investment Income-2Yr'!AA32+'All Other E&amp;G-2Yr'!AA32</f>
        <v>289539.973</v>
      </c>
      <c r="AB32" s="90">
        <f>+'Tuition-2Yr'!AB32+'State Appropriations-2Yr'!AB32+'Local Appropriations-2Yr'!AB32+'Fed Contracts Grnts-2Yr'!AB32+'Other Contracts Grnts-2Yr'!AB32+'Investment Income-2Yr'!AB32+'All Other E&amp;G-2Yr'!AB32</f>
        <v>338314.55800000002</v>
      </c>
      <c r="AC32" s="90">
        <f>+'Tuition-2Yr'!AC32+'State Appropriations-2Yr'!AC32+'Local Appropriations-2Yr'!AC32+'Fed Contracts Grnts-2Yr'!AC32+'Other Contracts Grnts-2Yr'!AC32+'Investment Income-2Yr'!AC32+'All Other E&amp;G-2Yr'!AC32</f>
        <v>356879</v>
      </c>
      <c r="AD32" s="90">
        <f>+'Tuition-2Yr'!AD32+'State Appropriations-2Yr'!AD32+'Local Appropriations-2Yr'!AD32+'Fed Contracts Grnts-2Yr'!AD32+'Other Contracts Grnts-2Yr'!AD32+'Investment Income-2Yr'!AD32+'All Other E&amp;G-2Yr'!AD32</f>
        <v>330255.63500000001</v>
      </c>
      <c r="AE32" s="90">
        <f>+'Tuition-2Yr'!AE32+'State Appropriations-2Yr'!AE32+'Local Appropriations-2Yr'!AE32+'Fed Contracts Grnts-2Yr'!AE32+'Other Contracts Grnts-2Yr'!AE32+'Investment Income-2Yr'!AE32+'All Other E&amp;G-2Yr'!AE32</f>
        <v>340351</v>
      </c>
      <c r="AF32" s="90">
        <f>+'Tuition-2Yr'!AF32+'State Appropriations-2Yr'!AF32+'Local Appropriations-2Yr'!AF32+'Fed Contracts Grnts-2Yr'!AF32+'Other Contracts Grnts-2Yr'!AF32+'Investment Income-2Yr'!AF32+'All Other E&amp;G-2Yr'!AF32</f>
        <v>339985</v>
      </c>
      <c r="AG32" s="90">
        <f>+'Tuition-2Yr'!AG32+'State Appropriations-2Yr'!AG32+'Local Appropriations-2Yr'!AG32+'Fed Contracts Grnts-2Yr'!AG32+'Other Contracts Grnts-2Yr'!AG32+'Investment Income-2Yr'!AG32+'All Other E&amp;G-2Yr'!AG32</f>
        <v>348161</v>
      </c>
      <c r="AH32" s="90">
        <f>+'Tuition-2Yr'!AH32+'State Appropriations-2Yr'!AH32+'Local Appropriations-2Yr'!AH32+'Fed Contracts Grnts-2Yr'!AH32+'Other Contracts Grnts-2Yr'!AH32+'Investment Income-2Yr'!AH32+'All Other E&amp;G-2Yr'!AH32</f>
        <v>343724</v>
      </c>
      <c r="AI32" s="90">
        <f>+'Tuition-2Yr'!AI32+'State Appropriations-2Yr'!AI32+'Local Appropriations-2Yr'!AI32+'Fed Contracts Grnts-2Yr'!AI32+'Other Contracts Grnts-2Yr'!AI32+'Investment Income-2Yr'!AI32+'All Other E&amp;G-2Yr'!AI32</f>
        <v>349362</v>
      </c>
      <c r="AJ32" s="90">
        <f>+'Tuition-2Yr'!AJ32+'State Appropriations-2Yr'!AJ32+'Local Appropriations-2Yr'!AJ32+'Fed Contracts Grnts-2Yr'!AJ32+'Other Contracts Grnts-2Yr'!AJ32+'Investment Income-2Yr'!AJ32+'All Other E&amp;G-2Yr'!AJ32</f>
        <v>0</v>
      </c>
      <c r="AK32" s="90">
        <f>+'Tuition-2Yr'!AK32+'State Appropriations-2Yr'!AK32+'Local Appropriations-2Yr'!AK32+'Fed Contracts Grnts-2Yr'!AK32+'Other Contracts Grnts-2Yr'!AK32+'Investment Income-2Yr'!AK32+'All Other E&amp;G-2Yr'!AK32</f>
        <v>428317</v>
      </c>
    </row>
    <row r="33" spans="1:37" ht="12.75" customHeight="1">
      <c r="A33" s="1" t="s">
        <v>46</v>
      </c>
      <c r="B33" s="90">
        <f>+'Tuition-2Yr'!B33+'State Appropriations-2Yr'!B33+'Local Appropriations-2Yr'!B33+'Fed Contracts Grnts-2Yr'!B33+'Other Contracts Grnts-2Yr'!B33+'Investment Income-2Yr'!B33+'All Other E&amp;G-2Yr'!B33</f>
        <v>0</v>
      </c>
      <c r="C33" s="90">
        <f>+'Tuition-2Yr'!C33+'State Appropriations-2Yr'!C33+'Local Appropriations-2Yr'!C33+'Fed Contracts Grnts-2Yr'!C33+'Other Contracts Grnts-2Yr'!C33+'Investment Income-2Yr'!C33+'All Other E&amp;G-2Yr'!C33</f>
        <v>0</v>
      </c>
      <c r="D33" s="90">
        <f>+'Tuition-2Yr'!D33+'State Appropriations-2Yr'!D33+'Local Appropriations-2Yr'!D33+'Fed Contracts Grnts-2Yr'!D33+'Other Contracts Grnts-2Yr'!D33+'Investment Income-2Yr'!D33+'All Other E&amp;G-2Yr'!D33</f>
        <v>0</v>
      </c>
      <c r="E33" s="90">
        <f>+'Tuition-2Yr'!E33+'State Appropriations-2Yr'!E33+'Local Appropriations-2Yr'!E33+'Fed Contracts Grnts-2Yr'!E33+'Other Contracts Grnts-2Yr'!E33+'Investment Income-2Yr'!E33+'All Other E&amp;G-2Yr'!E33</f>
        <v>0</v>
      </c>
      <c r="F33" s="90">
        <f>+'Tuition-2Yr'!F33+'State Appropriations-2Yr'!F33+'Local Appropriations-2Yr'!F33+'Fed Contracts Grnts-2Yr'!F33+'Other Contracts Grnts-2Yr'!F33+'Investment Income-2Yr'!F33+'All Other E&amp;G-2Yr'!F33</f>
        <v>0</v>
      </c>
      <c r="G33" s="90">
        <f>+'Tuition-2Yr'!G33+'State Appropriations-2Yr'!G33+'Local Appropriations-2Yr'!G33+'Fed Contracts Grnts-2Yr'!G33+'Other Contracts Grnts-2Yr'!G33+'Investment Income-2Yr'!G33+'All Other E&amp;G-2Yr'!G33</f>
        <v>0</v>
      </c>
      <c r="H33" s="90">
        <f>+'Tuition-2Yr'!H33+'State Appropriations-2Yr'!H33+'Local Appropriations-2Yr'!H33+'Fed Contracts Grnts-2Yr'!H33+'Other Contracts Grnts-2Yr'!H33+'Investment Income-2Yr'!H33+'All Other E&amp;G-2Yr'!H33</f>
        <v>0</v>
      </c>
      <c r="I33" s="90">
        <f>+'Tuition-2Yr'!I33+'State Appropriations-2Yr'!I33+'Local Appropriations-2Yr'!I33+'Fed Contracts Grnts-2Yr'!I33+'Other Contracts Grnts-2Yr'!I33+'Investment Income-2Yr'!I33+'All Other E&amp;G-2Yr'!I33</f>
        <v>0</v>
      </c>
      <c r="J33" s="90">
        <f>+'Tuition-2Yr'!J33+'State Appropriations-2Yr'!J33+'Local Appropriations-2Yr'!J33+'Fed Contracts Grnts-2Yr'!J33+'Other Contracts Grnts-2Yr'!J33+'Investment Income-2Yr'!J33+'All Other E&amp;G-2Yr'!J33</f>
        <v>150758.049</v>
      </c>
      <c r="K33" s="90">
        <f>+'Tuition-2Yr'!K33+'State Appropriations-2Yr'!K33+'Local Appropriations-2Yr'!K33+'Fed Contracts Grnts-2Yr'!K33+'Other Contracts Grnts-2Yr'!K33+'Investment Income-2Yr'!K33+'All Other E&amp;G-2Yr'!K33</f>
        <v>0</v>
      </c>
      <c r="L33" s="90">
        <f>+'Tuition-2Yr'!L33+'State Appropriations-2Yr'!L33+'Local Appropriations-2Yr'!L33+'Fed Contracts Grnts-2Yr'!L33+'Other Contracts Grnts-2Yr'!L33+'Investment Income-2Yr'!L33+'All Other E&amp;G-2Yr'!L33</f>
        <v>0</v>
      </c>
      <c r="M33" s="90">
        <f>+'Tuition-2Yr'!M33+'State Appropriations-2Yr'!M33+'Local Appropriations-2Yr'!M33+'Fed Contracts Grnts-2Yr'!M33+'Other Contracts Grnts-2Yr'!M33+'Investment Income-2Yr'!M33+'All Other E&amp;G-2Yr'!M33</f>
        <v>198372.55400000003</v>
      </c>
      <c r="N33" s="90">
        <f>+'Tuition-2Yr'!N33+'State Appropriations-2Yr'!N33+'Local Appropriations-2Yr'!N33+'Fed Contracts Grnts-2Yr'!N33+'Other Contracts Grnts-2Yr'!N33+'Investment Income-2Yr'!N33+'All Other E&amp;G-2Yr'!N33</f>
        <v>0</v>
      </c>
      <c r="O33" s="90">
        <f>+'Tuition-2Yr'!O33+'State Appropriations-2Yr'!O33+'Local Appropriations-2Yr'!O33+'Fed Contracts Grnts-2Yr'!O33+'Other Contracts Grnts-2Yr'!O33+'Investment Income-2Yr'!O33+'All Other E&amp;G-2Yr'!O33</f>
        <v>245283.80685000002</v>
      </c>
      <c r="P33" s="90">
        <f>+'Tuition-2Yr'!P33+'State Appropriations-2Yr'!P33+'Local Appropriations-2Yr'!P33+'Fed Contracts Grnts-2Yr'!P33+'Other Contracts Grnts-2Yr'!P33+'Investment Income-2Yr'!P33+'All Other E&amp;G-2Yr'!P33</f>
        <v>0</v>
      </c>
      <c r="Q33" s="90">
        <f>+'Tuition-2Yr'!Q33+'State Appropriations-2Yr'!Q33+'Local Appropriations-2Yr'!Q33+'Fed Contracts Grnts-2Yr'!Q33+'Other Contracts Grnts-2Yr'!Q33+'Investment Income-2Yr'!Q33+'All Other E&amp;G-2Yr'!Q33</f>
        <v>0</v>
      </c>
      <c r="R33" s="90">
        <f>+'Tuition-2Yr'!R33+'State Appropriations-2Yr'!R33+'Local Appropriations-2Yr'!R33+'Fed Contracts Grnts-2Yr'!R33+'Other Contracts Grnts-2Yr'!R33+'Investment Income-2Yr'!R33+'All Other E&amp;G-2Yr'!R33</f>
        <v>304446.34200000006</v>
      </c>
      <c r="S33" s="90">
        <f>+'Tuition-2Yr'!S33+'State Appropriations-2Yr'!S33+'Local Appropriations-2Yr'!S33+'Fed Contracts Grnts-2Yr'!S33+'Other Contracts Grnts-2Yr'!S33+'Investment Income-2Yr'!S33+'All Other E&amp;G-2Yr'!S33</f>
        <v>321544.33100000001</v>
      </c>
      <c r="T33" s="90">
        <f>+'Tuition-2Yr'!T33+'State Appropriations-2Yr'!T33+'Local Appropriations-2Yr'!T33+'Fed Contracts Grnts-2Yr'!T33+'Other Contracts Grnts-2Yr'!T33+'Investment Income-2Yr'!T33+'All Other E&amp;G-2Yr'!T33</f>
        <v>357863.83199999999</v>
      </c>
      <c r="U33" s="90">
        <f>+'Tuition-2Yr'!U33+'State Appropriations-2Yr'!U33+'Local Appropriations-2Yr'!U33+'Fed Contracts Grnts-2Yr'!U33+'Other Contracts Grnts-2Yr'!U33+'Investment Income-2Yr'!U33+'All Other E&amp;G-2Yr'!U33</f>
        <v>381540.174</v>
      </c>
      <c r="V33" s="90">
        <f>+'Tuition-2Yr'!V33+'State Appropriations-2Yr'!V33+'Local Appropriations-2Yr'!V33+'Fed Contracts Grnts-2Yr'!V33+'Other Contracts Grnts-2Yr'!V33+'Investment Income-2Yr'!V33+'All Other E&amp;G-2Yr'!V33</f>
        <v>411897.35599999997</v>
      </c>
      <c r="W33" s="90">
        <f>+'Tuition-2Yr'!W33+'State Appropriations-2Yr'!W33+'Local Appropriations-2Yr'!W33+'Fed Contracts Grnts-2Yr'!W33+'Other Contracts Grnts-2Yr'!W33+'Investment Income-2Yr'!W33+'All Other E&amp;G-2Yr'!W33</f>
        <v>453305.74900000001</v>
      </c>
      <c r="X33" s="90">
        <f>+'Tuition-2Yr'!X33+'State Appropriations-2Yr'!X33+'Local Appropriations-2Yr'!X33+'Fed Contracts Grnts-2Yr'!X33+'Other Contracts Grnts-2Yr'!X33+'Investment Income-2Yr'!X33+'All Other E&amp;G-2Yr'!X33</f>
        <v>465719.96799999999</v>
      </c>
      <c r="Y33" s="90">
        <f>+'Tuition-2Yr'!Y33+'State Appropriations-2Yr'!Y33+'Local Appropriations-2Yr'!Y33+'Fed Contracts Grnts-2Yr'!Y33+'Other Contracts Grnts-2Yr'!Y33+'Investment Income-2Yr'!Y33+'All Other E&amp;G-2Yr'!Y33</f>
        <v>498926.04499999998</v>
      </c>
      <c r="Z33" s="90">
        <f>+'Tuition-2Yr'!Z33+'State Appropriations-2Yr'!Z33+'Local Appropriations-2Yr'!Z33+'Fed Contracts Grnts-2Yr'!Z33+'Other Contracts Grnts-2Yr'!Z33+'Investment Income-2Yr'!Z33+'All Other E&amp;G-2Yr'!Z33</f>
        <v>515605.66000000003</v>
      </c>
      <c r="AA33" s="90">
        <f>+'Tuition-2Yr'!AA33+'State Appropriations-2Yr'!AA33+'Local Appropriations-2Yr'!AA33+'Fed Contracts Grnts-2Yr'!AA33+'Other Contracts Grnts-2Yr'!AA33+'Investment Income-2Yr'!AA33+'All Other E&amp;G-2Yr'!AA33</f>
        <v>596151.80900000001</v>
      </c>
      <c r="AB33" s="90">
        <f>+'Tuition-2Yr'!AB33+'State Appropriations-2Yr'!AB33+'Local Appropriations-2Yr'!AB33+'Fed Contracts Grnts-2Yr'!AB33+'Other Contracts Grnts-2Yr'!AB33+'Investment Income-2Yr'!AB33+'All Other E&amp;G-2Yr'!AB33</f>
        <v>649289.26700000011</v>
      </c>
      <c r="AC33" s="90">
        <f>+'Tuition-2Yr'!AC33+'State Appropriations-2Yr'!AC33+'Local Appropriations-2Yr'!AC33+'Fed Contracts Grnts-2Yr'!AC33+'Other Contracts Grnts-2Yr'!AC33+'Investment Income-2Yr'!AC33+'All Other E&amp;G-2Yr'!AC33</f>
        <v>707057</v>
      </c>
      <c r="AD33" s="90">
        <f>+'Tuition-2Yr'!AD33+'State Appropriations-2Yr'!AD33+'Local Appropriations-2Yr'!AD33+'Fed Contracts Grnts-2Yr'!AD33+'Other Contracts Grnts-2Yr'!AD33+'Investment Income-2Yr'!AD33+'All Other E&amp;G-2Yr'!AD33</f>
        <v>679714.27899999998</v>
      </c>
      <c r="AE33" s="90">
        <f>+'Tuition-2Yr'!AE33+'State Appropriations-2Yr'!AE33+'Local Appropriations-2Yr'!AE33+'Fed Contracts Grnts-2Yr'!AE33+'Other Contracts Grnts-2Yr'!AE33+'Investment Income-2Yr'!AE33+'All Other E&amp;G-2Yr'!AE33</f>
        <v>746593.56400000001</v>
      </c>
      <c r="AF33" s="90">
        <f>+'Tuition-2Yr'!AF33+'State Appropriations-2Yr'!AF33+'Local Appropriations-2Yr'!AF33+'Fed Contracts Grnts-2Yr'!AF33+'Other Contracts Grnts-2Yr'!AF33+'Investment Income-2Yr'!AF33+'All Other E&amp;G-2Yr'!AF33</f>
        <v>474833.55300000001</v>
      </c>
      <c r="AG33" s="90">
        <f>+'Tuition-2Yr'!AG33+'State Appropriations-2Yr'!AG33+'Local Appropriations-2Yr'!AG33+'Fed Contracts Grnts-2Yr'!AG33+'Other Contracts Grnts-2Yr'!AG33+'Investment Income-2Yr'!AG33+'All Other E&amp;G-2Yr'!AG33</f>
        <v>445785.24</v>
      </c>
      <c r="AH33" s="90">
        <f>+'Tuition-2Yr'!AH33+'State Appropriations-2Yr'!AH33+'Local Appropriations-2Yr'!AH33+'Fed Contracts Grnts-2Yr'!AH33+'Other Contracts Grnts-2Yr'!AH33+'Investment Income-2Yr'!AH33+'All Other E&amp;G-2Yr'!AH33</f>
        <v>673306.66499999992</v>
      </c>
      <c r="AI33" s="90">
        <f>+'Tuition-2Yr'!AI33+'State Appropriations-2Yr'!AI33+'Local Appropriations-2Yr'!AI33+'Fed Contracts Grnts-2Yr'!AI33+'Other Contracts Grnts-2Yr'!AI33+'Investment Income-2Yr'!AI33+'All Other E&amp;G-2Yr'!AI33</f>
        <v>665187.89200000011</v>
      </c>
      <c r="AJ33" s="90">
        <f>+'Tuition-2Yr'!AJ33+'State Appropriations-2Yr'!AJ33+'Local Appropriations-2Yr'!AJ33+'Fed Contracts Grnts-2Yr'!AJ33+'Other Contracts Grnts-2Yr'!AJ33+'Investment Income-2Yr'!AJ33+'All Other E&amp;G-2Yr'!AJ33</f>
        <v>0</v>
      </c>
      <c r="AK33" s="90">
        <f>+'Tuition-2Yr'!AK33+'State Appropriations-2Yr'!AK33+'Local Appropriations-2Yr'!AK33+'Fed Contracts Grnts-2Yr'!AK33+'Other Contracts Grnts-2Yr'!AK33+'Investment Income-2Yr'!AK33+'All Other E&amp;G-2Yr'!AK33</f>
        <v>779021.91800000006</v>
      </c>
    </row>
    <row r="34" spans="1:37" ht="12.75" customHeight="1">
      <c r="A34" s="1" t="s">
        <v>47</v>
      </c>
      <c r="B34" s="90">
        <f>+'Tuition-2Yr'!B34+'State Appropriations-2Yr'!B34+'Local Appropriations-2Yr'!B34+'Fed Contracts Grnts-2Yr'!B34+'Other Contracts Grnts-2Yr'!B34+'Investment Income-2Yr'!B34+'All Other E&amp;G-2Yr'!B34</f>
        <v>0</v>
      </c>
      <c r="C34" s="90">
        <f>+'Tuition-2Yr'!C34+'State Appropriations-2Yr'!C34+'Local Appropriations-2Yr'!C34+'Fed Contracts Grnts-2Yr'!C34+'Other Contracts Grnts-2Yr'!C34+'Investment Income-2Yr'!C34+'All Other E&amp;G-2Yr'!C34</f>
        <v>0</v>
      </c>
      <c r="D34" s="90">
        <f>+'Tuition-2Yr'!D34+'State Appropriations-2Yr'!D34+'Local Appropriations-2Yr'!D34+'Fed Contracts Grnts-2Yr'!D34+'Other Contracts Grnts-2Yr'!D34+'Investment Income-2Yr'!D34+'All Other E&amp;G-2Yr'!D34</f>
        <v>0</v>
      </c>
      <c r="E34" s="90">
        <f>+'Tuition-2Yr'!E34+'State Appropriations-2Yr'!E34+'Local Appropriations-2Yr'!E34+'Fed Contracts Grnts-2Yr'!E34+'Other Contracts Grnts-2Yr'!E34+'Investment Income-2Yr'!E34+'All Other E&amp;G-2Yr'!E34</f>
        <v>0</v>
      </c>
      <c r="F34" s="90">
        <f>+'Tuition-2Yr'!F34+'State Appropriations-2Yr'!F34+'Local Appropriations-2Yr'!F34+'Fed Contracts Grnts-2Yr'!F34+'Other Contracts Grnts-2Yr'!F34+'Investment Income-2Yr'!F34+'All Other E&amp;G-2Yr'!F34</f>
        <v>0</v>
      </c>
      <c r="G34" s="90">
        <f>+'Tuition-2Yr'!G34+'State Appropriations-2Yr'!G34+'Local Appropriations-2Yr'!G34+'Fed Contracts Grnts-2Yr'!G34+'Other Contracts Grnts-2Yr'!G34+'Investment Income-2Yr'!G34+'All Other E&amp;G-2Yr'!G34</f>
        <v>0</v>
      </c>
      <c r="H34" s="90">
        <f>+'Tuition-2Yr'!H34+'State Appropriations-2Yr'!H34+'Local Appropriations-2Yr'!H34+'Fed Contracts Grnts-2Yr'!H34+'Other Contracts Grnts-2Yr'!H34+'Investment Income-2Yr'!H34+'All Other E&amp;G-2Yr'!H34</f>
        <v>0</v>
      </c>
      <c r="I34" s="90">
        <f>+'Tuition-2Yr'!I34+'State Appropriations-2Yr'!I34+'Local Appropriations-2Yr'!I34+'Fed Contracts Grnts-2Yr'!I34+'Other Contracts Grnts-2Yr'!I34+'Investment Income-2Yr'!I34+'All Other E&amp;G-2Yr'!I34</f>
        <v>0</v>
      </c>
      <c r="J34" s="90">
        <f>+'Tuition-2Yr'!J34+'State Appropriations-2Yr'!J34+'Local Appropriations-2Yr'!J34+'Fed Contracts Grnts-2Yr'!J34+'Other Contracts Grnts-2Yr'!J34+'Investment Income-2Yr'!J34+'All Other E&amp;G-2Yr'!J34</f>
        <v>362807.06400000001</v>
      </c>
      <c r="K34" s="90">
        <f>+'Tuition-2Yr'!K34+'State Appropriations-2Yr'!K34+'Local Appropriations-2Yr'!K34+'Fed Contracts Grnts-2Yr'!K34+'Other Contracts Grnts-2Yr'!K34+'Investment Income-2Yr'!K34+'All Other E&amp;G-2Yr'!K34</f>
        <v>0</v>
      </c>
      <c r="L34" s="90">
        <f>+'Tuition-2Yr'!L34+'State Appropriations-2Yr'!L34+'Local Appropriations-2Yr'!L34+'Fed Contracts Grnts-2Yr'!L34+'Other Contracts Grnts-2Yr'!L34+'Investment Income-2Yr'!L34+'All Other E&amp;G-2Yr'!L34</f>
        <v>0</v>
      </c>
      <c r="M34" s="90">
        <f>+'Tuition-2Yr'!M34+'State Appropriations-2Yr'!M34+'Local Appropriations-2Yr'!M34+'Fed Contracts Grnts-2Yr'!M34+'Other Contracts Grnts-2Yr'!M34+'Investment Income-2Yr'!M34+'All Other E&amp;G-2Yr'!M34</f>
        <v>423060.53200000001</v>
      </c>
      <c r="N34" s="90">
        <f>+'Tuition-2Yr'!N34+'State Appropriations-2Yr'!N34+'Local Appropriations-2Yr'!N34+'Fed Contracts Grnts-2Yr'!N34+'Other Contracts Grnts-2Yr'!N34+'Investment Income-2Yr'!N34+'All Other E&amp;G-2Yr'!N34</f>
        <v>0</v>
      </c>
      <c r="O34" s="90">
        <f>+'Tuition-2Yr'!O34+'State Appropriations-2Yr'!O34+'Local Appropriations-2Yr'!O34+'Fed Contracts Grnts-2Yr'!O34+'Other Contracts Grnts-2Yr'!O34+'Investment Income-2Yr'!O34+'All Other E&amp;G-2Yr'!O34</f>
        <v>471229.27700000006</v>
      </c>
      <c r="P34" s="90">
        <f>+'Tuition-2Yr'!P34+'State Appropriations-2Yr'!P34+'Local Appropriations-2Yr'!P34+'Fed Contracts Grnts-2Yr'!P34+'Other Contracts Grnts-2Yr'!P34+'Investment Income-2Yr'!P34+'All Other E&amp;G-2Yr'!P34</f>
        <v>0</v>
      </c>
      <c r="Q34" s="90">
        <f>+'Tuition-2Yr'!Q34+'State Appropriations-2Yr'!Q34+'Local Appropriations-2Yr'!Q34+'Fed Contracts Grnts-2Yr'!Q34+'Other Contracts Grnts-2Yr'!Q34+'Investment Income-2Yr'!Q34+'All Other E&amp;G-2Yr'!Q34</f>
        <v>0</v>
      </c>
      <c r="R34" s="90">
        <f>+'Tuition-2Yr'!R34+'State Appropriations-2Yr'!R34+'Local Appropriations-2Yr'!R34+'Fed Contracts Grnts-2Yr'!R34+'Other Contracts Grnts-2Yr'!R34+'Investment Income-2Yr'!R34+'All Other E&amp;G-2Yr'!R34</f>
        <v>569459.26800000004</v>
      </c>
      <c r="S34" s="90">
        <f>+'Tuition-2Yr'!S34+'State Appropriations-2Yr'!S34+'Local Appropriations-2Yr'!S34+'Fed Contracts Grnts-2Yr'!S34+'Other Contracts Grnts-2Yr'!S34+'Investment Income-2Yr'!S34+'All Other E&amp;G-2Yr'!S34</f>
        <v>607505.02500000002</v>
      </c>
      <c r="T34" s="90">
        <f>+'Tuition-2Yr'!T34+'State Appropriations-2Yr'!T34+'Local Appropriations-2Yr'!T34+'Fed Contracts Grnts-2Yr'!T34+'Other Contracts Grnts-2Yr'!T34+'Investment Income-2Yr'!T34+'All Other E&amp;G-2Yr'!T34</f>
        <v>672452.89399999997</v>
      </c>
      <c r="U34" s="90">
        <f>+'Tuition-2Yr'!U34+'State Appropriations-2Yr'!U34+'Local Appropriations-2Yr'!U34+'Fed Contracts Grnts-2Yr'!U34+'Other Contracts Grnts-2Yr'!U34+'Investment Income-2Yr'!U34+'All Other E&amp;G-2Yr'!U34</f>
        <v>637129.69699999993</v>
      </c>
      <c r="V34" s="90">
        <f>+'Tuition-2Yr'!V34+'State Appropriations-2Yr'!V34+'Local Appropriations-2Yr'!V34+'Fed Contracts Grnts-2Yr'!V34+'Other Contracts Grnts-2Yr'!V34+'Investment Income-2Yr'!V34+'All Other E&amp;G-2Yr'!V34</f>
        <v>775248.05299999996</v>
      </c>
      <c r="W34" s="90">
        <f>+'Tuition-2Yr'!W34+'State Appropriations-2Yr'!W34+'Local Appropriations-2Yr'!W34+'Fed Contracts Grnts-2Yr'!W34+'Other Contracts Grnts-2Yr'!W34+'Investment Income-2Yr'!W34+'All Other E&amp;G-2Yr'!W34</f>
        <v>768728.54700000002</v>
      </c>
      <c r="X34" s="90">
        <f>+'Tuition-2Yr'!X34+'State Appropriations-2Yr'!X34+'Local Appropriations-2Yr'!X34+'Fed Contracts Grnts-2Yr'!X34+'Other Contracts Grnts-2Yr'!X34+'Investment Income-2Yr'!X34+'All Other E&amp;G-2Yr'!X34</f>
        <v>865465.76799999992</v>
      </c>
      <c r="Y34" s="90">
        <f>+'Tuition-2Yr'!Y34+'State Appropriations-2Yr'!Y34+'Local Appropriations-2Yr'!Y34+'Fed Contracts Grnts-2Yr'!Y34+'Other Contracts Grnts-2Yr'!Y34+'Investment Income-2Yr'!Y34+'All Other E&amp;G-2Yr'!Y34</f>
        <v>787586.01699999999</v>
      </c>
      <c r="Z34" s="90">
        <f>+'Tuition-2Yr'!Z34+'State Appropriations-2Yr'!Z34+'Local Appropriations-2Yr'!Z34+'Fed Contracts Grnts-2Yr'!Z34+'Other Contracts Grnts-2Yr'!Z34+'Investment Income-2Yr'!Z34+'All Other E&amp;G-2Yr'!Z34</f>
        <v>926682.87199999997</v>
      </c>
      <c r="AA34" s="90">
        <f>+'Tuition-2Yr'!AA34+'State Appropriations-2Yr'!AA34+'Local Appropriations-2Yr'!AA34+'Fed Contracts Grnts-2Yr'!AA34+'Other Contracts Grnts-2Yr'!AA34+'Investment Income-2Yr'!AA34+'All Other E&amp;G-2Yr'!AA34</f>
        <v>948811.19799999986</v>
      </c>
      <c r="AB34" s="90">
        <f>+'Tuition-2Yr'!AB34+'State Appropriations-2Yr'!AB34+'Local Appropriations-2Yr'!AB34+'Fed Contracts Grnts-2Yr'!AB34+'Other Contracts Grnts-2Yr'!AB34+'Investment Income-2Yr'!AB34+'All Other E&amp;G-2Yr'!AB34</f>
        <v>1302075.3960000002</v>
      </c>
      <c r="AC34" s="90">
        <f>+'Tuition-2Yr'!AC34+'State Appropriations-2Yr'!AC34+'Local Appropriations-2Yr'!AC34+'Fed Contracts Grnts-2Yr'!AC34+'Other Contracts Grnts-2Yr'!AC34+'Investment Income-2Yr'!AC34+'All Other E&amp;G-2Yr'!AC34</f>
        <v>1317977</v>
      </c>
      <c r="AD34" s="90">
        <f>+'Tuition-2Yr'!AD34+'State Appropriations-2Yr'!AD34+'Local Appropriations-2Yr'!AD34+'Fed Contracts Grnts-2Yr'!AD34+'Other Contracts Grnts-2Yr'!AD34+'Investment Income-2Yr'!AD34+'All Other E&amp;G-2Yr'!AD34</f>
        <v>1304299.2139999997</v>
      </c>
      <c r="AE34" s="90">
        <f>+'Tuition-2Yr'!AE34+'State Appropriations-2Yr'!AE34+'Local Appropriations-2Yr'!AE34+'Fed Contracts Grnts-2Yr'!AE34+'Other Contracts Grnts-2Yr'!AE34+'Investment Income-2Yr'!AE34+'All Other E&amp;G-2Yr'!AE34</f>
        <v>1211766.889</v>
      </c>
      <c r="AF34" s="90">
        <f>+'Tuition-2Yr'!AF34+'State Appropriations-2Yr'!AF34+'Local Appropriations-2Yr'!AF34+'Fed Contracts Grnts-2Yr'!AF34+'Other Contracts Grnts-2Yr'!AF34+'Investment Income-2Yr'!AF34+'All Other E&amp;G-2Yr'!AF34</f>
        <v>1304594.9089999998</v>
      </c>
      <c r="AG34" s="90">
        <f>+'Tuition-2Yr'!AG34+'State Appropriations-2Yr'!AG34+'Local Appropriations-2Yr'!AG34+'Fed Contracts Grnts-2Yr'!AG34+'Other Contracts Grnts-2Yr'!AG34+'Investment Income-2Yr'!AG34+'All Other E&amp;G-2Yr'!AG34</f>
        <v>1110977.9979999999</v>
      </c>
      <c r="AH34" s="90">
        <f>+'Tuition-2Yr'!AH34+'State Appropriations-2Yr'!AH34+'Local Appropriations-2Yr'!AH34+'Fed Contracts Grnts-2Yr'!AH34+'Other Contracts Grnts-2Yr'!AH34+'Investment Income-2Yr'!AH34+'All Other E&amp;G-2Yr'!AH34</f>
        <v>1208120.58</v>
      </c>
      <c r="AI34" s="90">
        <f>+'Tuition-2Yr'!AI34+'State Appropriations-2Yr'!AI34+'Local Appropriations-2Yr'!AI34+'Fed Contracts Grnts-2Yr'!AI34+'Other Contracts Grnts-2Yr'!AI34+'Investment Income-2Yr'!AI34+'All Other E&amp;G-2Yr'!AI34</f>
        <v>1152252.3689999999</v>
      </c>
      <c r="AJ34" s="90">
        <f>+'Tuition-2Yr'!AJ34+'State Appropriations-2Yr'!AJ34+'Local Appropriations-2Yr'!AJ34+'Fed Contracts Grnts-2Yr'!AJ34+'Other Contracts Grnts-2Yr'!AJ34+'Investment Income-2Yr'!AJ34+'All Other E&amp;G-2Yr'!AJ34</f>
        <v>0</v>
      </c>
      <c r="AK34" s="90">
        <f>+'Tuition-2Yr'!AK34+'State Appropriations-2Yr'!AK34+'Local Appropriations-2Yr'!AK34+'Fed Contracts Grnts-2Yr'!AK34+'Other Contracts Grnts-2Yr'!AK34+'Investment Income-2Yr'!AK34+'All Other E&amp;G-2Yr'!AK34</f>
        <v>1280258.6609999998</v>
      </c>
    </row>
    <row r="35" spans="1:37" ht="12.75" customHeight="1">
      <c r="A35" s="1" t="s">
        <v>48</v>
      </c>
      <c r="B35" s="90">
        <f>+'Tuition-2Yr'!B35+'State Appropriations-2Yr'!B35+'Local Appropriations-2Yr'!B35+'Fed Contracts Grnts-2Yr'!B35+'Other Contracts Grnts-2Yr'!B35+'Investment Income-2Yr'!B35+'All Other E&amp;G-2Yr'!B35</f>
        <v>0</v>
      </c>
      <c r="C35" s="90">
        <f>+'Tuition-2Yr'!C35+'State Appropriations-2Yr'!C35+'Local Appropriations-2Yr'!C35+'Fed Contracts Grnts-2Yr'!C35+'Other Contracts Grnts-2Yr'!C35+'Investment Income-2Yr'!C35+'All Other E&amp;G-2Yr'!C35</f>
        <v>0</v>
      </c>
      <c r="D35" s="90">
        <f>+'Tuition-2Yr'!D35+'State Appropriations-2Yr'!D35+'Local Appropriations-2Yr'!D35+'Fed Contracts Grnts-2Yr'!D35+'Other Contracts Grnts-2Yr'!D35+'Investment Income-2Yr'!D35+'All Other E&amp;G-2Yr'!D35</f>
        <v>0</v>
      </c>
      <c r="E35" s="90">
        <f>+'Tuition-2Yr'!E35+'State Appropriations-2Yr'!E35+'Local Appropriations-2Yr'!E35+'Fed Contracts Grnts-2Yr'!E35+'Other Contracts Grnts-2Yr'!E35+'Investment Income-2Yr'!E35+'All Other E&amp;G-2Yr'!E35</f>
        <v>0</v>
      </c>
      <c r="F35" s="90">
        <f>+'Tuition-2Yr'!F35+'State Appropriations-2Yr'!F35+'Local Appropriations-2Yr'!F35+'Fed Contracts Grnts-2Yr'!F35+'Other Contracts Grnts-2Yr'!F35+'Investment Income-2Yr'!F35+'All Other E&amp;G-2Yr'!F35</f>
        <v>0</v>
      </c>
      <c r="G35" s="90">
        <f>+'Tuition-2Yr'!G35+'State Appropriations-2Yr'!G35+'Local Appropriations-2Yr'!G35+'Fed Contracts Grnts-2Yr'!G35+'Other Contracts Grnts-2Yr'!G35+'Investment Income-2Yr'!G35+'All Other E&amp;G-2Yr'!G35</f>
        <v>0</v>
      </c>
      <c r="H35" s="90">
        <f>+'Tuition-2Yr'!H35+'State Appropriations-2Yr'!H35+'Local Appropriations-2Yr'!H35+'Fed Contracts Grnts-2Yr'!H35+'Other Contracts Grnts-2Yr'!H35+'Investment Income-2Yr'!H35+'All Other E&amp;G-2Yr'!H35</f>
        <v>0</v>
      </c>
      <c r="I35" s="90">
        <f>+'Tuition-2Yr'!I35+'State Appropriations-2Yr'!I35+'Local Appropriations-2Yr'!I35+'Fed Contracts Grnts-2Yr'!I35+'Other Contracts Grnts-2Yr'!I35+'Investment Income-2Yr'!I35+'All Other E&amp;G-2Yr'!I35</f>
        <v>0</v>
      </c>
      <c r="J35" s="90">
        <f>+'Tuition-2Yr'!J35+'State Appropriations-2Yr'!J35+'Local Appropriations-2Yr'!J35+'Fed Contracts Grnts-2Yr'!J35+'Other Contracts Grnts-2Yr'!J35+'Investment Income-2Yr'!J35+'All Other E&amp;G-2Yr'!J35</f>
        <v>132847.09299999999</v>
      </c>
      <c r="K35" s="90">
        <f>+'Tuition-2Yr'!K35+'State Appropriations-2Yr'!K35+'Local Appropriations-2Yr'!K35+'Fed Contracts Grnts-2Yr'!K35+'Other Contracts Grnts-2Yr'!K35+'Investment Income-2Yr'!K35+'All Other E&amp;G-2Yr'!K35</f>
        <v>0</v>
      </c>
      <c r="L35" s="90">
        <f>+'Tuition-2Yr'!L35+'State Appropriations-2Yr'!L35+'Local Appropriations-2Yr'!L35+'Fed Contracts Grnts-2Yr'!L35+'Other Contracts Grnts-2Yr'!L35+'Investment Income-2Yr'!L35+'All Other E&amp;G-2Yr'!L35</f>
        <v>0</v>
      </c>
      <c r="M35" s="90">
        <f>+'Tuition-2Yr'!M35+'State Appropriations-2Yr'!M35+'Local Appropriations-2Yr'!M35+'Fed Contracts Grnts-2Yr'!M35+'Other Contracts Grnts-2Yr'!M35+'Investment Income-2Yr'!M35+'All Other E&amp;G-2Yr'!M35</f>
        <v>126058.86599999999</v>
      </c>
      <c r="N35" s="90">
        <f>+'Tuition-2Yr'!N35+'State Appropriations-2Yr'!N35+'Local Appropriations-2Yr'!N35+'Fed Contracts Grnts-2Yr'!N35+'Other Contracts Grnts-2Yr'!N35+'Investment Income-2Yr'!N35+'All Other E&amp;G-2Yr'!N35</f>
        <v>0</v>
      </c>
      <c r="O35" s="90">
        <f>+'Tuition-2Yr'!O35+'State Appropriations-2Yr'!O35+'Local Appropriations-2Yr'!O35+'Fed Contracts Grnts-2Yr'!O35+'Other Contracts Grnts-2Yr'!O35+'Investment Income-2Yr'!O35+'All Other E&amp;G-2Yr'!O35</f>
        <v>143860.63700000002</v>
      </c>
      <c r="P35" s="90">
        <f>+'Tuition-2Yr'!P35+'State Appropriations-2Yr'!P35+'Local Appropriations-2Yr'!P35+'Fed Contracts Grnts-2Yr'!P35+'Other Contracts Grnts-2Yr'!P35+'Investment Income-2Yr'!P35+'All Other E&amp;G-2Yr'!P35</f>
        <v>0</v>
      </c>
      <c r="Q35" s="90">
        <f>+'Tuition-2Yr'!Q35+'State Appropriations-2Yr'!Q35+'Local Appropriations-2Yr'!Q35+'Fed Contracts Grnts-2Yr'!Q35+'Other Contracts Grnts-2Yr'!Q35+'Investment Income-2Yr'!Q35+'All Other E&amp;G-2Yr'!Q35</f>
        <v>0</v>
      </c>
      <c r="R35" s="90">
        <f>+'Tuition-2Yr'!R35+'State Appropriations-2Yr'!R35+'Local Appropriations-2Yr'!R35+'Fed Contracts Grnts-2Yr'!R35+'Other Contracts Grnts-2Yr'!R35+'Investment Income-2Yr'!R35+'All Other E&amp;G-2Yr'!R35</f>
        <v>141236.23199999999</v>
      </c>
      <c r="S35" s="90">
        <f>+'Tuition-2Yr'!S35+'State Appropriations-2Yr'!S35+'Local Appropriations-2Yr'!S35+'Fed Contracts Grnts-2Yr'!S35+'Other Contracts Grnts-2Yr'!S35+'Investment Income-2Yr'!S35+'All Other E&amp;G-2Yr'!S35</f>
        <v>162455.89099999997</v>
      </c>
      <c r="T35" s="90">
        <f>+'Tuition-2Yr'!T35+'State Appropriations-2Yr'!T35+'Local Appropriations-2Yr'!T35+'Fed Contracts Grnts-2Yr'!T35+'Other Contracts Grnts-2Yr'!T35+'Investment Income-2Yr'!T35+'All Other E&amp;G-2Yr'!T35</f>
        <v>168231.99099999998</v>
      </c>
      <c r="U35" s="90">
        <f>+'Tuition-2Yr'!U35+'State Appropriations-2Yr'!U35+'Local Appropriations-2Yr'!U35+'Fed Contracts Grnts-2Yr'!U35+'Other Contracts Grnts-2Yr'!U35+'Investment Income-2Yr'!U35+'All Other E&amp;G-2Yr'!U35</f>
        <v>173683.62100000001</v>
      </c>
      <c r="V35" s="90">
        <f>+'Tuition-2Yr'!V35+'State Appropriations-2Yr'!V35+'Local Appropriations-2Yr'!V35+'Fed Contracts Grnts-2Yr'!V35+'Other Contracts Grnts-2Yr'!V35+'Investment Income-2Yr'!V35+'All Other E&amp;G-2Yr'!V35</f>
        <v>206136.08200000002</v>
      </c>
      <c r="W35" s="90">
        <f>+'Tuition-2Yr'!W35+'State Appropriations-2Yr'!W35+'Local Appropriations-2Yr'!W35+'Fed Contracts Grnts-2Yr'!W35+'Other Contracts Grnts-2Yr'!W35+'Investment Income-2Yr'!W35+'All Other E&amp;G-2Yr'!W35</f>
        <v>229270.36400000003</v>
      </c>
      <c r="X35" s="90">
        <f>+'Tuition-2Yr'!X35+'State Appropriations-2Yr'!X35+'Local Appropriations-2Yr'!X35+'Fed Contracts Grnts-2Yr'!X35+'Other Contracts Grnts-2Yr'!X35+'Investment Income-2Yr'!X35+'All Other E&amp;G-2Yr'!X35</f>
        <v>223959.50399999999</v>
      </c>
      <c r="Y35" s="90">
        <f>+'Tuition-2Yr'!Y35+'State Appropriations-2Yr'!Y35+'Local Appropriations-2Yr'!Y35+'Fed Contracts Grnts-2Yr'!Y35+'Other Contracts Grnts-2Yr'!Y35+'Investment Income-2Yr'!Y35+'All Other E&amp;G-2Yr'!Y35</f>
        <v>248209.78599999999</v>
      </c>
      <c r="Z35" s="90">
        <f>+'Tuition-2Yr'!Z35+'State Appropriations-2Yr'!Z35+'Local Appropriations-2Yr'!Z35+'Fed Contracts Grnts-2Yr'!Z35+'Other Contracts Grnts-2Yr'!Z35+'Investment Income-2Yr'!Z35+'All Other E&amp;G-2Yr'!Z35</f>
        <v>262601.59499999997</v>
      </c>
      <c r="AA35" s="90">
        <f>+'Tuition-2Yr'!AA35+'State Appropriations-2Yr'!AA35+'Local Appropriations-2Yr'!AA35+'Fed Contracts Grnts-2Yr'!AA35+'Other Contracts Grnts-2Yr'!AA35+'Investment Income-2Yr'!AA35+'All Other E&amp;G-2Yr'!AA35</f>
        <v>255489.49300000002</v>
      </c>
      <c r="AB35" s="90">
        <f>+'Tuition-2Yr'!AB35+'State Appropriations-2Yr'!AB35+'Local Appropriations-2Yr'!AB35+'Fed Contracts Grnts-2Yr'!AB35+'Other Contracts Grnts-2Yr'!AB35+'Investment Income-2Yr'!AB35+'All Other E&amp;G-2Yr'!AB35</f>
        <v>349190.80499999999</v>
      </c>
      <c r="AC35" s="90">
        <f>+'Tuition-2Yr'!AC35+'State Appropriations-2Yr'!AC35+'Local Appropriations-2Yr'!AC35+'Fed Contracts Grnts-2Yr'!AC35+'Other Contracts Grnts-2Yr'!AC35+'Investment Income-2Yr'!AC35+'All Other E&amp;G-2Yr'!AC35</f>
        <v>309328</v>
      </c>
      <c r="AD35" s="90">
        <f>+'Tuition-2Yr'!AD35+'State Appropriations-2Yr'!AD35+'Local Appropriations-2Yr'!AD35+'Fed Contracts Grnts-2Yr'!AD35+'Other Contracts Grnts-2Yr'!AD35+'Investment Income-2Yr'!AD35+'All Other E&amp;G-2Yr'!AD35</f>
        <v>245190.55799999999</v>
      </c>
      <c r="AE35" s="90">
        <f>+'Tuition-2Yr'!AE35+'State Appropriations-2Yr'!AE35+'Local Appropriations-2Yr'!AE35+'Fed Contracts Grnts-2Yr'!AE35+'Other Contracts Grnts-2Yr'!AE35+'Investment Income-2Yr'!AE35+'All Other E&amp;G-2Yr'!AE35</f>
        <v>348592.74300000002</v>
      </c>
      <c r="AF35" s="90">
        <f>+'Tuition-2Yr'!AF35+'State Appropriations-2Yr'!AF35+'Local Appropriations-2Yr'!AF35+'Fed Contracts Grnts-2Yr'!AF35+'Other Contracts Grnts-2Yr'!AF35+'Investment Income-2Yr'!AF35+'All Other E&amp;G-2Yr'!AF35</f>
        <v>345171.96499999997</v>
      </c>
      <c r="AG35" s="90">
        <f>+'Tuition-2Yr'!AG35+'State Appropriations-2Yr'!AG35+'Local Appropriations-2Yr'!AG35+'Fed Contracts Grnts-2Yr'!AG35+'Other Contracts Grnts-2Yr'!AG35+'Investment Income-2Yr'!AG35+'All Other E&amp;G-2Yr'!AG35</f>
        <v>364488.05599999998</v>
      </c>
      <c r="AH35" s="90">
        <f>+'Tuition-2Yr'!AH35+'State Appropriations-2Yr'!AH35+'Local Appropriations-2Yr'!AH35+'Fed Contracts Grnts-2Yr'!AH35+'Other Contracts Grnts-2Yr'!AH35+'Investment Income-2Yr'!AH35+'All Other E&amp;G-2Yr'!AH35</f>
        <v>270353.25499999995</v>
      </c>
      <c r="AI35" s="90">
        <f>+'Tuition-2Yr'!AI35+'State Appropriations-2Yr'!AI35+'Local Appropriations-2Yr'!AI35+'Fed Contracts Grnts-2Yr'!AI35+'Other Contracts Grnts-2Yr'!AI35+'Investment Income-2Yr'!AI35+'All Other E&amp;G-2Yr'!AI35</f>
        <v>272598.98100000003</v>
      </c>
      <c r="AJ35" s="90">
        <f>+'Tuition-2Yr'!AJ35+'State Appropriations-2Yr'!AJ35+'Local Appropriations-2Yr'!AJ35+'Fed Contracts Grnts-2Yr'!AJ35+'Other Contracts Grnts-2Yr'!AJ35+'Investment Income-2Yr'!AJ35+'All Other E&amp;G-2Yr'!AJ35</f>
        <v>0</v>
      </c>
      <c r="AK35" s="90">
        <f>+'Tuition-2Yr'!AK35+'State Appropriations-2Yr'!AK35+'Local Appropriations-2Yr'!AK35+'Fed Contracts Grnts-2Yr'!AK35+'Other Contracts Grnts-2Yr'!AK35+'Investment Income-2Yr'!AK35+'All Other E&amp;G-2Yr'!AK35</f>
        <v>307560.886</v>
      </c>
    </row>
    <row r="36" spans="1:37" ht="12.75" customHeight="1">
      <c r="A36" s="1" t="s">
        <v>49</v>
      </c>
      <c r="B36" s="90">
        <f>+'Tuition-2Yr'!B36+'State Appropriations-2Yr'!B36+'Local Appropriations-2Yr'!B36+'Fed Contracts Grnts-2Yr'!B36+'Other Contracts Grnts-2Yr'!B36+'Investment Income-2Yr'!B36+'All Other E&amp;G-2Yr'!B36</f>
        <v>0</v>
      </c>
      <c r="C36" s="90">
        <f>+'Tuition-2Yr'!C36+'State Appropriations-2Yr'!C36+'Local Appropriations-2Yr'!C36+'Fed Contracts Grnts-2Yr'!C36+'Other Contracts Grnts-2Yr'!C36+'Investment Income-2Yr'!C36+'All Other E&amp;G-2Yr'!C36</f>
        <v>0</v>
      </c>
      <c r="D36" s="90">
        <f>+'Tuition-2Yr'!D36+'State Appropriations-2Yr'!D36+'Local Appropriations-2Yr'!D36+'Fed Contracts Grnts-2Yr'!D36+'Other Contracts Grnts-2Yr'!D36+'Investment Income-2Yr'!D36+'All Other E&amp;G-2Yr'!D36</f>
        <v>0</v>
      </c>
      <c r="E36" s="90">
        <f>+'Tuition-2Yr'!E36+'State Appropriations-2Yr'!E36+'Local Appropriations-2Yr'!E36+'Fed Contracts Grnts-2Yr'!E36+'Other Contracts Grnts-2Yr'!E36+'Investment Income-2Yr'!E36+'All Other E&amp;G-2Yr'!E36</f>
        <v>0</v>
      </c>
      <c r="F36" s="90">
        <f>+'Tuition-2Yr'!F36+'State Appropriations-2Yr'!F36+'Local Appropriations-2Yr'!F36+'Fed Contracts Grnts-2Yr'!F36+'Other Contracts Grnts-2Yr'!F36+'Investment Income-2Yr'!F36+'All Other E&amp;G-2Yr'!F36</f>
        <v>0</v>
      </c>
      <c r="G36" s="90">
        <f>+'Tuition-2Yr'!G36+'State Appropriations-2Yr'!G36+'Local Appropriations-2Yr'!G36+'Fed Contracts Grnts-2Yr'!G36+'Other Contracts Grnts-2Yr'!G36+'Investment Income-2Yr'!G36+'All Other E&amp;G-2Yr'!G36</f>
        <v>0</v>
      </c>
      <c r="H36" s="90">
        <f>+'Tuition-2Yr'!H36+'State Appropriations-2Yr'!H36+'Local Appropriations-2Yr'!H36+'Fed Contracts Grnts-2Yr'!H36+'Other Contracts Grnts-2Yr'!H36+'Investment Income-2Yr'!H36+'All Other E&amp;G-2Yr'!H36</f>
        <v>0</v>
      </c>
      <c r="I36" s="90">
        <f>+'Tuition-2Yr'!I36+'State Appropriations-2Yr'!I36+'Local Appropriations-2Yr'!I36+'Fed Contracts Grnts-2Yr'!I36+'Other Contracts Grnts-2Yr'!I36+'Investment Income-2Yr'!I36+'All Other E&amp;G-2Yr'!I36</f>
        <v>0</v>
      </c>
      <c r="J36" s="90">
        <f>+'Tuition-2Yr'!J36+'State Appropriations-2Yr'!J36+'Local Appropriations-2Yr'!J36+'Fed Contracts Grnts-2Yr'!J36+'Other Contracts Grnts-2Yr'!J36+'Investment Income-2Yr'!J36+'All Other E&amp;G-2Yr'!J36</f>
        <v>542550.07300000009</v>
      </c>
      <c r="K36" s="90">
        <f>+'Tuition-2Yr'!K36+'State Appropriations-2Yr'!K36+'Local Appropriations-2Yr'!K36+'Fed Contracts Grnts-2Yr'!K36+'Other Contracts Grnts-2Yr'!K36+'Investment Income-2Yr'!K36+'All Other E&amp;G-2Yr'!K36</f>
        <v>0</v>
      </c>
      <c r="L36" s="90">
        <f>+'Tuition-2Yr'!L36+'State Appropriations-2Yr'!L36+'Local Appropriations-2Yr'!L36+'Fed Contracts Grnts-2Yr'!L36+'Other Contracts Grnts-2Yr'!L36+'Investment Income-2Yr'!L36+'All Other E&amp;G-2Yr'!L36</f>
        <v>0</v>
      </c>
      <c r="M36" s="90">
        <f>+'Tuition-2Yr'!M36+'State Appropriations-2Yr'!M36+'Local Appropriations-2Yr'!M36+'Fed Contracts Grnts-2Yr'!M36+'Other Contracts Grnts-2Yr'!M36+'Investment Income-2Yr'!M36+'All Other E&amp;G-2Yr'!M36</f>
        <v>707260.005</v>
      </c>
      <c r="N36" s="90">
        <f>+'Tuition-2Yr'!N36+'State Appropriations-2Yr'!N36+'Local Appropriations-2Yr'!N36+'Fed Contracts Grnts-2Yr'!N36+'Other Contracts Grnts-2Yr'!N36+'Investment Income-2Yr'!N36+'All Other E&amp;G-2Yr'!N36</f>
        <v>0</v>
      </c>
      <c r="O36" s="90">
        <f>+'Tuition-2Yr'!O36+'State Appropriations-2Yr'!O36+'Local Appropriations-2Yr'!O36+'Fed Contracts Grnts-2Yr'!O36+'Other Contracts Grnts-2Yr'!O36+'Investment Income-2Yr'!O36+'All Other E&amp;G-2Yr'!O36</f>
        <v>824214.97023999982</v>
      </c>
      <c r="P36" s="90">
        <f>+'Tuition-2Yr'!P36+'State Appropriations-2Yr'!P36+'Local Appropriations-2Yr'!P36+'Fed Contracts Grnts-2Yr'!P36+'Other Contracts Grnts-2Yr'!P36+'Investment Income-2Yr'!P36+'All Other E&amp;G-2Yr'!P36</f>
        <v>0</v>
      </c>
      <c r="Q36" s="90">
        <f>+'Tuition-2Yr'!Q36+'State Appropriations-2Yr'!Q36+'Local Appropriations-2Yr'!Q36+'Fed Contracts Grnts-2Yr'!Q36+'Other Contracts Grnts-2Yr'!Q36+'Investment Income-2Yr'!Q36+'All Other E&amp;G-2Yr'!Q36</f>
        <v>0</v>
      </c>
      <c r="R36" s="90">
        <f>+'Tuition-2Yr'!R36+'State Appropriations-2Yr'!R36+'Local Appropriations-2Yr'!R36+'Fed Contracts Grnts-2Yr'!R36+'Other Contracts Grnts-2Yr'!R36+'Investment Income-2Yr'!R36+'All Other E&amp;G-2Yr'!R36</f>
        <v>987799.22399999993</v>
      </c>
      <c r="S36" s="90">
        <f>+'Tuition-2Yr'!S36+'State Appropriations-2Yr'!S36+'Local Appropriations-2Yr'!S36+'Fed Contracts Grnts-2Yr'!S36+'Other Contracts Grnts-2Yr'!S36+'Investment Income-2Yr'!S36+'All Other E&amp;G-2Yr'!S36</f>
        <v>1121257.5159999998</v>
      </c>
      <c r="T36" s="90">
        <f>+'Tuition-2Yr'!T36+'State Appropriations-2Yr'!T36+'Local Appropriations-2Yr'!T36+'Fed Contracts Grnts-2Yr'!T36+'Other Contracts Grnts-2Yr'!T36+'Investment Income-2Yr'!T36+'All Other E&amp;G-2Yr'!T36</f>
        <v>1145827.155</v>
      </c>
      <c r="U36" s="90">
        <f>+'Tuition-2Yr'!U36+'State Appropriations-2Yr'!U36+'Local Appropriations-2Yr'!U36+'Fed Contracts Grnts-2Yr'!U36+'Other Contracts Grnts-2Yr'!U36+'Investment Income-2Yr'!U36+'All Other E&amp;G-2Yr'!U36</f>
        <v>1256688.27</v>
      </c>
      <c r="V36" s="90">
        <f>+'Tuition-2Yr'!V36+'State Appropriations-2Yr'!V36+'Local Appropriations-2Yr'!V36+'Fed Contracts Grnts-2Yr'!V36+'Other Contracts Grnts-2Yr'!V36+'Investment Income-2Yr'!V36+'All Other E&amp;G-2Yr'!V36</f>
        <v>1283065.7959999999</v>
      </c>
      <c r="W36" s="90">
        <f>+'Tuition-2Yr'!W36+'State Appropriations-2Yr'!W36+'Local Appropriations-2Yr'!W36+'Fed Contracts Grnts-2Yr'!W36+'Other Contracts Grnts-2Yr'!W36+'Investment Income-2Yr'!W36+'All Other E&amp;G-2Yr'!W36</f>
        <v>1361059.4509999999</v>
      </c>
      <c r="X36" s="90">
        <f>+'Tuition-2Yr'!X36+'State Appropriations-2Yr'!X36+'Local Appropriations-2Yr'!X36+'Fed Contracts Grnts-2Yr'!X36+'Other Contracts Grnts-2Yr'!X36+'Investment Income-2Yr'!X36+'All Other E&amp;G-2Yr'!X36</f>
        <v>1345857.2660000001</v>
      </c>
      <c r="Y36" s="90">
        <f>+'Tuition-2Yr'!Y36+'State Appropriations-2Yr'!Y36+'Local Appropriations-2Yr'!Y36+'Fed Contracts Grnts-2Yr'!Y36+'Other Contracts Grnts-2Yr'!Y36+'Investment Income-2Yr'!Y36+'All Other E&amp;G-2Yr'!Y36</f>
        <v>1186323.727</v>
      </c>
      <c r="Z36" s="90">
        <f>+'Tuition-2Yr'!Z36+'State Appropriations-2Yr'!Z36+'Local Appropriations-2Yr'!Z36+'Fed Contracts Grnts-2Yr'!Z36+'Other Contracts Grnts-2Yr'!Z36+'Investment Income-2Yr'!Z36+'All Other E&amp;G-2Yr'!Z36</f>
        <v>1313285.503</v>
      </c>
      <c r="AA36" s="90">
        <f>+'Tuition-2Yr'!AA36+'State Appropriations-2Yr'!AA36+'Local Appropriations-2Yr'!AA36+'Fed Contracts Grnts-2Yr'!AA36+'Other Contracts Grnts-2Yr'!AA36+'Investment Income-2Yr'!AA36+'All Other E&amp;G-2Yr'!AA36</f>
        <v>1749809.8649999998</v>
      </c>
      <c r="AB36" s="90">
        <f>+'Tuition-2Yr'!AB36+'State Appropriations-2Yr'!AB36+'Local Appropriations-2Yr'!AB36+'Fed Contracts Grnts-2Yr'!AB36+'Other Contracts Grnts-2Yr'!AB36+'Investment Income-2Yr'!AB36+'All Other E&amp;G-2Yr'!AB36</f>
        <v>1922199.1719999998</v>
      </c>
      <c r="AC36" s="90">
        <f>+'Tuition-2Yr'!AC36+'State Appropriations-2Yr'!AC36+'Local Appropriations-2Yr'!AC36+'Fed Contracts Grnts-2Yr'!AC36+'Other Contracts Grnts-2Yr'!AC36+'Investment Income-2Yr'!AC36+'All Other E&amp;G-2Yr'!AC36</f>
        <v>2024008</v>
      </c>
      <c r="AD36" s="90">
        <f>+'Tuition-2Yr'!AD36+'State Appropriations-2Yr'!AD36+'Local Appropriations-2Yr'!AD36+'Fed Contracts Grnts-2Yr'!AD36+'Other Contracts Grnts-2Yr'!AD36+'Investment Income-2Yr'!AD36+'All Other E&amp;G-2Yr'!AD36</f>
        <v>2019406.6910000001</v>
      </c>
      <c r="AE36" s="90">
        <f>+'Tuition-2Yr'!AE36+'State Appropriations-2Yr'!AE36+'Local Appropriations-2Yr'!AE36+'Fed Contracts Grnts-2Yr'!AE36+'Other Contracts Grnts-2Yr'!AE36+'Investment Income-2Yr'!AE36+'All Other E&amp;G-2Yr'!AE36</f>
        <v>2060809.5460000001</v>
      </c>
      <c r="AF36" s="90">
        <f>+'Tuition-2Yr'!AF36+'State Appropriations-2Yr'!AF36+'Local Appropriations-2Yr'!AF36+'Fed Contracts Grnts-2Yr'!AF36+'Other Contracts Grnts-2Yr'!AF36+'Investment Income-2Yr'!AF36+'All Other E&amp;G-2Yr'!AF36</f>
        <v>1596234.1469999999</v>
      </c>
      <c r="AG36" s="90">
        <f>+'Tuition-2Yr'!AG36+'State Appropriations-2Yr'!AG36+'Local Appropriations-2Yr'!AG36+'Fed Contracts Grnts-2Yr'!AG36+'Other Contracts Grnts-2Yr'!AG36+'Investment Income-2Yr'!AG36+'All Other E&amp;G-2Yr'!AG36</f>
        <v>1567664.9430000002</v>
      </c>
      <c r="AH36" s="90">
        <f>+'Tuition-2Yr'!AH36+'State Appropriations-2Yr'!AH36+'Local Appropriations-2Yr'!AH36+'Fed Contracts Grnts-2Yr'!AH36+'Other Contracts Grnts-2Yr'!AH36+'Investment Income-2Yr'!AH36+'All Other E&amp;G-2Yr'!AH36</f>
        <v>2021153.6949999998</v>
      </c>
      <c r="AI36" s="90">
        <f>+'Tuition-2Yr'!AI36+'State Appropriations-2Yr'!AI36+'Local Appropriations-2Yr'!AI36+'Fed Contracts Grnts-2Yr'!AI36+'Other Contracts Grnts-2Yr'!AI36+'Investment Income-2Yr'!AI36+'All Other E&amp;G-2Yr'!AI36</f>
        <v>2155102.7029999997</v>
      </c>
      <c r="AJ36" s="90">
        <f>+'Tuition-2Yr'!AJ36+'State Appropriations-2Yr'!AJ36+'Local Appropriations-2Yr'!AJ36+'Fed Contracts Grnts-2Yr'!AJ36+'Other Contracts Grnts-2Yr'!AJ36+'Investment Income-2Yr'!AJ36+'All Other E&amp;G-2Yr'!AJ36</f>
        <v>0</v>
      </c>
      <c r="AK36" s="90">
        <f>+'Tuition-2Yr'!AK36+'State Appropriations-2Yr'!AK36+'Local Appropriations-2Yr'!AK36+'Fed Contracts Grnts-2Yr'!AK36+'Other Contracts Grnts-2Yr'!AK36+'Investment Income-2Yr'!AK36+'All Other E&amp;G-2Yr'!AK36</f>
        <v>2514054.2110000001</v>
      </c>
    </row>
    <row r="37" spans="1:37" ht="12.75" customHeight="1">
      <c r="A37" s="30" t="s">
        <v>50</v>
      </c>
      <c r="B37" s="91">
        <f>+'Tuition-2Yr'!B37+'State Appropriations-2Yr'!B37+'Local Appropriations-2Yr'!B37+'Fed Contracts Grnts-2Yr'!B37+'Other Contracts Grnts-2Yr'!B37+'Investment Income-2Yr'!B37+'All Other E&amp;G-2Yr'!B37</f>
        <v>0</v>
      </c>
      <c r="C37" s="91">
        <f>+'Tuition-2Yr'!C37+'State Appropriations-2Yr'!C37+'Local Appropriations-2Yr'!C37+'Fed Contracts Grnts-2Yr'!C37+'Other Contracts Grnts-2Yr'!C37+'Investment Income-2Yr'!C37+'All Other E&amp;G-2Yr'!C37</f>
        <v>0</v>
      </c>
      <c r="D37" s="91">
        <f>+'Tuition-2Yr'!D37+'State Appropriations-2Yr'!D37+'Local Appropriations-2Yr'!D37+'Fed Contracts Grnts-2Yr'!D37+'Other Contracts Grnts-2Yr'!D37+'Investment Income-2Yr'!D37+'All Other E&amp;G-2Yr'!D37</f>
        <v>0</v>
      </c>
      <c r="E37" s="91">
        <f>+'Tuition-2Yr'!E37+'State Appropriations-2Yr'!E37+'Local Appropriations-2Yr'!E37+'Fed Contracts Grnts-2Yr'!E37+'Other Contracts Grnts-2Yr'!E37+'Investment Income-2Yr'!E37+'All Other E&amp;G-2Yr'!E37</f>
        <v>0</v>
      </c>
      <c r="F37" s="91">
        <f>+'Tuition-2Yr'!F37+'State Appropriations-2Yr'!F37+'Local Appropriations-2Yr'!F37+'Fed Contracts Grnts-2Yr'!F37+'Other Contracts Grnts-2Yr'!F37+'Investment Income-2Yr'!F37+'All Other E&amp;G-2Yr'!F37</f>
        <v>0</v>
      </c>
      <c r="G37" s="91">
        <f>+'Tuition-2Yr'!G37+'State Appropriations-2Yr'!G37+'Local Appropriations-2Yr'!G37+'Fed Contracts Grnts-2Yr'!G37+'Other Contracts Grnts-2Yr'!G37+'Investment Income-2Yr'!G37+'All Other E&amp;G-2Yr'!G37</f>
        <v>0</v>
      </c>
      <c r="H37" s="91">
        <f>+'Tuition-2Yr'!H37+'State Appropriations-2Yr'!H37+'Local Appropriations-2Yr'!H37+'Fed Contracts Grnts-2Yr'!H37+'Other Contracts Grnts-2Yr'!H37+'Investment Income-2Yr'!H37+'All Other E&amp;G-2Yr'!H37</f>
        <v>0</v>
      </c>
      <c r="I37" s="91">
        <f>+'Tuition-2Yr'!I37+'State Appropriations-2Yr'!I37+'Local Appropriations-2Yr'!I37+'Fed Contracts Grnts-2Yr'!I37+'Other Contracts Grnts-2Yr'!I37+'Investment Income-2Yr'!I37+'All Other E&amp;G-2Yr'!I37</f>
        <v>0</v>
      </c>
      <c r="J37" s="91">
        <f>+'Tuition-2Yr'!J37+'State Appropriations-2Yr'!J37+'Local Appropriations-2Yr'!J37+'Fed Contracts Grnts-2Yr'!J37+'Other Contracts Grnts-2Yr'!J37+'Investment Income-2Yr'!J37+'All Other E&amp;G-2Yr'!J37</f>
        <v>83485.356</v>
      </c>
      <c r="K37" s="91">
        <f>+'Tuition-2Yr'!K37+'State Appropriations-2Yr'!K37+'Local Appropriations-2Yr'!K37+'Fed Contracts Grnts-2Yr'!K37+'Other Contracts Grnts-2Yr'!K37+'Investment Income-2Yr'!K37+'All Other E&amp;G-2Yr'!K37</f>
        <v>0</v>
      </c>
      <c r="L37" s="91">
        <f>+'Tuition-2Yr'!L37+'State Appropriations-2Yr'!L37+'Local Appropriations-2Yr'!L37+'Fed Contracts Grnts-2Yr'!L37+'Other Contracts Grnts-2Yr'!L37+'Investment Income-2Yr'!L37+'All Other E&amp;G-2Yr'!L37</f>
        <v>0</v>
      </c>
      <c r="M37" s="91">
        <f>+'Tuition-2Yr'!M37+'State Appropriations-2Yr'!M37+'Local Appropriations-2Yr'!M37+'Fed Contracts Grnts-2Yr'!M37+'Other Contracts Grnts-2Yr'!M37+'Investment Income-2Yr'!M37+'All Other E&amp;G-2Yr'!M37</f>
        <v>85663.256999999998</v>
      </c>
      <c r="N37" s="91">
        <f>+'Tuition-2Yr'!N37+'State Appropriations-2Yr'!N37+'Local Appropriations-2Yr'!N37+'Fed Contracts Grnts-2Yr'!N37+'Other Contracts Grnts-2Yr'!N37+'Investment Income-2Yr'!N37+'All Other E&amp;G-2Yr'!N37</f>
        <v>0</v>
      </c>
      <c r="O37" s="91">
        <f>+'Tuition-2Yr'!O37+'State Appropriations-2Yr'!O37+'Local Appropriations-2Yr'!O37+'Fed Contracts Grnts-2Yr'!O37+'Other Contracts Grnts-2Yr'!O37+'Investment Income-2Yr'!O37+'All Other E&amp;G-2Yr'!O37</f>
        <v>88976.863999999987</v>
      </c>
      <c r="P37" s="91">
        <f>+'Tuition-2Yr'!P37+'State Appropriations-2Yr'!P37+'Local Appropriations-2Yr'!P37+'Fed Contracts Grnts-2Yr'!P37+'Other Contracts Grnts-2Yr'!P37+'Investment Income-2Yr'!P37+'All Other E&amp;G-2Yr'!P37</f>
        <v>0</v>
      </c>
      <c r="Q37" s="91">
        <f>+'Tuition-2Yr'!Q37+'State Appropriations-2Yr'!Q37+'Local Appropriations-2Yr'!Q37+'Fed Contracts Grnts-2Yr'!Q37+'Other Contracts Grnts-2Yr'!Q37+'Investment Income-2Yr'!Q37+'All Other E&amp;G-2Yr'!Q37</f>
        <v>0</v>
      </c>
      <c r="R37" s="91">
        <f>+'Tuition-2Yr'!R37+'State Appropriations-2Yr'!R37+'Local Appropriations-2Yr'!R37+'Fed Contracts Grnts-2Yr'!R37+'Other Contracts Grnts-2Yr'!R37+'Investment Income-2Yr'!R37+'All Other E&amp;G-2Yr'!R37</f>
        <v>100526.51499999998</v>
      </c>
      <c r="S37" s="91">
        <f>+'Tuition-2Yr'!S37+'State Appropriations-2Yr'!S37+'Local Appropriations-2Yr'!S37+'Fed Contracts Grnts-2Yr'!S37+'Other Contracts Grnts-2Yr'!S37+'Investment Income-2Yr'!S37+'All Other E&amp;G-2Yr'!S37</f>
        <v>110580.03600000002</v>
      </c>
      <c r="T37" s="91">
        <f>+'Tuition-2Yr'!T37+'State Appropriations-2Yr'!T37+'Local Appropriations-2Yr'!T37+'Fed Contracts Grnts-2Yr'!T37+'Other Contracts Grnts-2Yr'!T37+'Investment Income-2Yr'!T37+'All Other E&amp;G-2Yr'!T37</f>
        <v>126114.292</v>
      </c>
      <c r="U37" s="91">
        <f>+'Tuition-2Yr'!U37+'State Appropriations-2Yr'!U37+'Local Appropriations-2Yr'!U37+'Fed Contracts Grnts-2Yr'!U37+'Other Contracts Grnts-2Yr'!U37+'Investment Income-2Yr'!U37+'All Other E&amp;G-2Yr'!U37</f>
        <v>135092.93</v>
      </c>
      <c r="V37" s="91">
        <f>+'Tuition-2Yr'!V37+'State Appropriations-2Yr'!V37+'Local Appropriations-2Yr'!V37+'Fed Contracts Grnts-2Yr'!V37+'Other Contracts Grnts-2Yr'!V37+'Investment Income-2Yr'!V37+'All Other E&amp;G-2Yr'!V37</f>
        <v>136413.98699999999</v>
      </c>
      <c r="W37" s="91">
        <f>+'Tuition-2Yr'!W37+'State Appropriations-2Yr'!W37+'Local Appropriations-2Yr'!W37+'Fed Contracts Grnts-2Yr'!W37+'Other Contracts Grnts-2Yr'!W37+'Investment Income-2Yr'!W37+'All Other E&amp;G-2Yr'!W37</f>
        <v>164598.41200000001</v>
      </c>
      <c r="X37" s="91">
        <f>+'Tuition-2Yr'!X37+'State Appropriations-2Yr'!X37+'Local Appropriations-2Yr'!X37+'Fed Contracts Grnts-2Yr'!X37+'Other Contracts Grnts-2Yr'!X37+'Investment Income-2Yr'!X37+'All Other E&amp;G-2Yr'!X37</f>
        <v>168283.74100000001</v>
      </c>
      <c r="Y37" s="91">
        <f>+'Tuition-2Yr'!Y37+'State Appropriations-2Yr'!Y37+'Local Appropriations-2Yr'!Y37+'Fed Contracts Grnts-2Yr'!Y37+'Other Contracts Grnts-2Yr'!Y37+'Investment Income-2Yr'!Y37+'All Other E&amp;G-2Yr'!Y37</f>
        <v>193662.872</v>
      </c>
      <c r="Z37" s="91">
        <f>+'Tuition-2Yr'!Z37+'State Appropriations-2Yr'!Z37+'Local Appropriations-2Yr'!Z37+'Fed Contracts Grnts-2Yr'!Z37+'Other Contracts Grnts-2Yr'!Z37+'Investment Income-2Yr'!Z37+'All Other E&amp;G-2Yr'!Z37</f>
        <v>218363.28399999999</v>
      </c>
      <c r="AA37" s="91">
        <f>+'Tuition-2Yr'!AA37+'State Appropriations-2Yr'!AA37+'Local Appropriations-2Yr'!AA37+'Fed Contracts Grnts-2Yr'!AA37+'Other Contracts Grnts-2Yr'!AA37+'Investment Income-2Yr'!AA37+'All Other E&amp;G-2Yr'!AA37</f>
        <v>225569.72400000002</v>
      </c>
      <c r="AB37" s="91">
        <f>+'Tuition-2Yr'!AB37+'State Appropriations-2Yr'!AB37+'Local Appropriations-2Yr'!AB37+'Fed Contracts Grnts-2Yr'!AB37+'Other Contracts Grnts-2Yr'!AB37+'Investment Income-2Yr'!AB37+'All Other E&amp;G-2Yr'!AB37</f>
        <v>247118.20300000001</v>
      </c>
      <c r="AC37" s="91">
        <f>+'Tuition-2Yr'!AC37+'State Appropriations-2Yr'!AC37+'Local Appropriations-2Yr'!AC37+'Fed Contracts Grnts-2Yr'!AC37+'Other Contracts Grnts-2Yr'!AC37+'Investment Income-2Yr'!AC37+'All Other E&amp;G-2Yr'!AC37</f>
        <v>284820</v>
      </c>
      <c r="AD37" s="91">
        <f>+'Tuition-2Yr'!AD37+'State Appropriations-2Yr'!AD37+'Local Appropriations-2Yr'!AD37+'Fed Contracts Grnts-2Yr'!AD37+'Other Contracts Grnts-2Yr'!AD37+'Investment Income-2Yr'!AD37+'All Other E&amp;G-2Yr'!AD37</f>
        <v>281802.40299999993</v>
      </c>
      <c r="AE37" s="91">
        <f>+'Tuition-2Yr'!AE37+'State Appropriations-2Yr'!AE37+'Local Appropriations-2Yr'!AE37+'Fed Contracts Grnts-2Yr'!AE37+'Other Contracts Grnts-2Yr'!AE37+'Investment Income-2Yr'!AE37+'All Other E&amp;G-2Yr'!AE37</f>
        <v>301974.47000000003</v>
      </c>
      <c r="AF37" s="91">
        <f>+'Tuition-2Yr'!AF37+'State Appropriations-2Yr'!AF37+'Local Appropriations-2Yr'!AF37+'Fed Contracts Grnts-2Yr'!AF37+'Other Contracts Grnts-2Yr'!AF37+'Investment Income-2Yr'!AF37+'All Other E&amp;G-2Yr'!AF37</f>
        <v>288643.33400000003</v>
      </c>
      <c r="AG37" s="91">
        <f>+'Tuition-2Yr'!AG37+'State Appropriations-2Yr'!AG37+'Local Appropriations-2Yr'!AG37+'Fed Contracts Grnts-2Yr'!AG37+'Other Contracts Grnts-2Yr'!AG37+'Investment Income-2Yr'!AG37+'All Other E&amp;G-2Yr'!AG37</f>
        <v>305184.58600000001</v>
      </c>
      <c r="AH37" s="91">
        <f>+'Tuition-2Yr'!AH37+'State Appropriations-2Yr'!AH37+'Local Appropriations-2Yr'!AH37+'Fed Contracts Grnts-2Yr'!AH37+'Other Contracts Grnts-2Yr'!AH37+'Investment Income-2Yr'!AH37+'All Other E&amp;G-2Yr'!AH37</f>
        <v>295441.30700000003</v>
      </c>
      <c r="AI37" s="91">
        <f>+'Tuition-2Yr'!AI37+'State Appropriations-2Yr'!AI37+'Local Appropriations-2Yr'!AI37+'Fed Contracts Grnts-2Yr'!AI37+'Other Contracts Grnts-2Yr'!AI37+'Investment Income-2Yr'!AI37+'All Other E&amp;G-2Yr'!AI37</f>
        <v>289422.71000000002</v>
      </c>
      <c r="AJ37" s="91">
        <f>+'Tuition-2Yr'!AJ37+'State Appropriations-2Yr'!AJ37+'Local Appropriations-2Yr'!AJ37+'Fed Contracts Grnts-2Yr'!AJ37+'Other Contracts Grnts-2Yr'!AJ37+'Investment Income-2Yr'!AJ37+'All Other E&amp;G-2Yr'!AJ37</f>
        <v>0</v>
      </c>
      <c r="AK37" s="91">
        <f>+'Tuition-2Yr'!AK37+'State Appropriations-2Yr'!AK37+'Local Appropriations-2Yr'!AK37+'Fed Contracts Grnts-2Yr'!AK37+'Other Contracts Grnts-2Yr'!AK37+'Investment Income-2Yr'!AK37+'All Other E&amp;G-2Yr'!AK37</f>
        <v>307525.38399999996</v>
      </c>
    </row>
    <row r="38" spans="1:37" ht="12.75" customHeight="1">
      <c r="A38" s="6" t="s">
        <v>51</v>
      </c>
      <c r="B38" s="90">
        <f>+'Tuition-2Yr'!B38+'State Appropriations-2Yr'!B38+'Local Appropriations-2Yr'!B38+'Fed Contracts Grnts-2Yr'!B38+'Other Contracts Grnts-2Yr'!B38+'Investment Income-2Yr'!B38+'All Other E&amp;G-2Yr'!B38</f>
        <v>0</v>
      </c>
      <c r="C38" s="90">
        <f>+'Tuition-2Yr'!C38+'State Appropriations-2Yr'!C38+'Local Appropriations-2Yr'!C38+'Fed Contracts Grnts-2Yr'!C38+'Other Contracts Grnts-2Yr'!C38+'Investment Income-2Yr'!C38+'All Other E&amp;G-2Yr'!C38</f>
        <v>0</v>
      </c>
      <c r="D38" s="90">
        <f>+'Tuition-2Yr'!D38+'State Appropriations-2Yr'!D38+'Local Appropriations-2Yr'!D38+'Fed Contracts Grnts-2Yr'!D38+'Other Contracts Grnts-2Yr'!D38+'Investment Income-2Yr'!D38+'All Other E&amp;G-2Yr'!D38</f>
        <v>0</v>
      </c>
      <c r="E38" s="90">
        <f>+'Tuition-2Yr'!E38+'State Appropriations-2Yr'!E38+'Local Appropriations-2Yr'!E38+'Fed Contracts Grnts-2Yr'!E38+'Other Contracts Grnts-2Yr'!E38+'Investment Income-2Yr'!E38+'All Other E&amp;G-2Yr'!E38</f>
        <v>0</v>
      </c>
      <c r="F38" s="90">
        <f>+'Tuition-2Yr'!F38+'State Appropriations-2Yr'!F38+'Local Appropriations-2Yr'!F38+'Fed Contracts Grnts-2Yr'!F38+'Other Contracts Grnts-2Yr'!F38+'Investment Income-2Yr'!F38+'All Other E&amp;G-2Yr'!F38</f>
        <v>0</v>
      </c>
      <c r="G38" s="90">
        <f>+'Tuition-2Yr'!G38+'State Appropriations-2Yr'!G38+'Local Appropriations-2Yr'!G38+'Fed Contracts Grnts-2Yr'!G38+'Other Contracts Grnts-2Yr'!G38+'Investment Income-2Yr'!G38+'All Other E&amp;G-2Yr'!G38</f>
        <v>0</v>
      </c>
      <c r="H38" s="90">
        <f>+'Tuition-2Yr'!H38+'State Appropriations-2Yr'!H38+'Local Appropriations-2Yr'!H38+'Fed Contracts Grnts-2Yr'!H38+'Other Contracts Grnts-2Yr'!H38+'Investment Income-2Yr'!H38+'All Other E&amp;G-2Yr'!H38</f>
        <v>0</v>
      </c>
      <c r="I38" s="90">
        <f>+'Tuition-2Yr'!I38+'State Appropriations-2Yr'!I38+'Local Appropriations-2Yr'!I38+'Fed Contracts Grnts-2Yr'!I38+'Other Contracts Grnts-2Yr'!I38+'Investment Income-2Yr'!I38+'All Other E&amp;G-2Yr'!I38</f>
        <v>0</v>
      </c>
      <c r="J38" s="90">
        <f>+'Tuition-2Yr'!J38+'State Appropriations-2Yr'!J38+'Local Appropriations-2Yr'!J38+'Fed Contracts Grnts-2Yr'!J38+'Other Contracts Grnts-2Yr'!J38+'Investment Income-2Yr'!J38+'All Other E&amp;G-2Yr'!J38</f>
        <v>4277897.7719999999</v>
      </c>
      <c r="K38" s="90">
        <f>+'Tuition-2Yr'!K38+'State Appropriations-2Yr'!K38+'Local Appropriations-2Yr'!K38+'Fed Contracts Grnts-2Yr'!K38+'Other Contracts Grnts-2Yr'!K38+'Investment Income-2Yr'!K38+'All Other E&amp;G-2Yr'!K38</f>
        <v>0</v>
      </c>
      <c r="L38" s="90">
        <f>+'Tuition-2Yr'!L38+'State Appropriations-2Yr'!L38+'Local Appropriations-2Yr'!L38+'Fed Contracts Grnts-2Yr'!L38+'Other Contracts Grnts-2Yr'!L38+'Investment Income-2Yr'!L38+'All Other E&amp;G-2Yr'!L38</f>
        <v>0</v>
      </c>
      <c r="M38" s="90">
        <f>+'Tuition-2Yr'!M38+'State Appropriations-2Yr'!M38+'Local Appropriations-2Yr'!M38+'Fed Contracts Grnts-2Yr'!M38+'Other Contracts Grnts-2Yr'!M38+'Investment Income-2Yr'!M38+'All Other E&amp;G-2Yr'!M38</f>
        <v>4945098.8990000002</v>
      </c>
      <c r="N38" s="90">
        <f>+'Tuition-2Yr'!N38+'State Appropriations-2Yr'!N38+'Local Appropriations-2Yr'!N38+'Fed Contracts Grnts-2Yr'!N38+'Other Contracts Grnts-2Yr'!N38+'Investment Income-2Yr'!N38+'All Other E&amp;G-2Yr'!N38</f>
        <v>0</v>
      </c>
      <c r="O38" s="90">
        <f>+'Tuition-2Yr'!O38+'State Appropriations-2Yr'!O38+'Local Appropriations-2Yr'!O38+'Fed Contracts Grnts-2Yr'!O38+'Other Contracts Grnts-2Yr'!O38+'Investment Income-2Yr'!O38+'All Other E&amp;G-2Yr'!O38</f>
        <v>5698221.0831000004</v>
      </c>
      <c r="P38" s="90">
        <f>+'Tuition-2Yr'!P38+'State Appropriations-2Yr'!P38+'Local Appropriations-2Yr'!P38+'Fed Contracts Grnts-2Yr'!P38+'Other Contracts Grnts-2Yr'!P38+'Investment Income-2Yr'!P38+'All Other E&amp;G-2Yr'!P38</f>
        <v>0</v>
      </c>
      <c r="Q38" s="90">
        <f>+'Tuition-2Yr'!Q38+'State Appropriations-2Yr'!Q38+'Local Appropriations-2Yr'!Q38+'Fed Contracts Grnts-2Yr'!Q38+'Other Contracts Grnts-2Yr'!Q38+'Investment Income-2Yr'!Q38+'All Other E&amp;G-2Yr'!Q38</f>
        <v>0</v>
      </c>
      <c r="R38" s="90">
        <f>+'Tuition-2Yr'!R38+'State Appropriations-2Yr'!R38+'Local Appropriations-2Yr'!R38+'Fed Contracts Grnts-2Yr'!R38+'Other Contracts Grnts-2Yr'!R38+'Investment Income-2Yr'!R38+'All Other E&amp;G-2Yr'!R38</f>
        <v>6490958.0759999994</v>
      </c>
      <c r="S38" s="90">
        <f>+'Tuition-2Yr'!S38+'State Appropriations-2Yr'!S38+'Local Appropriations-2Yr'!S38+'Fed Contracts Grnts-2Yr'!S38+'Other Contracts Grnts-2Yr'!S38+'Investment Income-2Yr'!S38+'All Other E&amp;G-2Yr'!S38</f>
        <v>7081338.2239999995</v>
      </c>
      <c r="T38" s="90">
        <f>+'Tuition-2Yr'!T38+'State Appropriations-2Yr'!T38+'Local Appropriations-2Yr'!T38+'Fed Contracts Grnts-2Yr'!T38+'Other Contracts Grnts-2Yr'!T38+'Investment Income-2Yr'!T38+'All Other E&amp;G-2Yr'!T38</f>
        <v>7468478.432</v>
      </c>
      <c r="U38" s="90">
        <f>+'Tuition-2Yr'!U38+'State Appropriations-2Yr'!U38+'Local Appropriations-2Yr'!U38+'Fed Contracts Grnts-2Yr'!U38+'Other Contracts Grnts-2Yr'!U38+'Investment Income-2Yr'!U38+'All Other E&amp;G-2Yr'!U38</f>
        <v>7649127.7549999999</v>
      </c>
      <c r="V38" s="90">
        <f>+'Tuition-2Yr'!V38+'State Appropriations-2Yr'!V38+'Local Appropriations-2Yr'!V38+'Fed Contracts Grnts-2Yr'!V38+'Other Contracts Grnts-2Yr'!V38+'Investment Income-2Yr'!V38+'All Other E&amp;G-2Yr'!V38</f>
        <v>8110951.216</v>
      </c>
      <c r="W38" s="90">
        <f>+'Tuition-2Yr'!W38+'State Appropriations-2Yr'!W38+'Local Appropriations-2Yr'!W38+'Fed Contracts Grnts-2Yr'!W38+'Other Contracts Grnts-2Yr'!W38+'Investment Income-2Yr'!W38+'All Other E&amp;G-2Yr'!W38</f>
        <v>8830509.7199999988</v>
      </c>
      <c r="X38" s="90">
        <f>+'Tuition-2Yr'!X38+'State Appropriations-2Yr'!X38+'Local Appropriations-2Yr'!X38+'Fed Contracts Grnts-2Yr'!X38+'Other Contracts Grnts-2Yr'!X38+'Investment Income-2Yr'!X38+'All Other E&amp;G-2Yr'!X38</f>
        <v>8681843.8529999983</v>
      </c>
      <c r="Y38" s="90">
        <f>+'Tuition-2Yr'!Y38+'State Appropriations-2Yr'!Y38+'Local Appropriations-2Yr'!Y38+'Fed Contracts Grnts-2Yr'!Y38+'Other Contracts Grnts-2Yr'!Y38+'Investment Income-2Yr'!Y38+'All Other E&amp;G-2Yr'!Y38</f>
        <v>9021578.6030000001</v>
      </c>
      <c r="Z38" s="90">
        <f>+'Tuition-2Yr'!Z38+'State Appropriations-2Yr'!Z38+'Local Appropriations-2Yr'!Z38+'Fed Contracts Grnts-2Yr'!Z38+'Other Contracts Grnts-2Yr'!Z38+'Investment Income-2Yr'!Z38+'All Other E&amp;G-2Yr'!Z38</f>
        <v>9662040.2459999993</v>
      </c>
      <c r="AA38" s="90">
        <f>+'Tuition-2Yr'!AA38+'State Appropriations-2Yr'!AA38+'Local Appropriations-2Yr'!AA38+'Fed Contracts Grnts-2Yr'!AA38+'Other Contracts Grnts-2Yr'!AA38+'Investment Income-2Yr'!AA38+'All Other E&amp;G-2Yr'!AA38</f>
        <v>11388555.367000002</v>
      </c>
      <c r="AB38" s="90">
        <f>+'Tuition-2Yr'!AB38+'State Appropriations-2Yr'!AB38+'Local Appropriations-2Yr'!AB38+'Fed Contracts Grnts-2Yr'!AB38+'Other Contracts Grnts-2Yr'!AB38+'Investment Income-2Yr'!AB38+'All Other E&amp;G-2Yr'!AB38</f>
        <v>13046469.184999999</v>
      </c>
      <c r="AC38" s="90">
        <f>+'Tuition-2Yr'!AC38+'State Appropriations-2Yr'!AC38+'Local Appropriations-2Yr'!AC38+'Fed Contracts Grnts-2Yr'!AC38+'Other Contracts Grnts-2Yr'!AC38+'Investment Income-2Yr'!AC38+'All Other E&amp;G-2Yr'!AC38</f>
        <v>14190615</v>
      </c>
      <c r="AD38" s="90">
        <f>+'Tuition-2Yr'!AD38+'State Appropriations-2Yr'!AD38+'Local Appropriations-2Yr'!AD38+'Fed Contracts Grnts-2Yr'!AD38+'Other Contracts Grnts-2Yr'!AD38+'Investment Income-2Yr'!AD38+'All Other E&amp;G-2Yr'!AD38</f>
        <v>14031970.949999999</v>
      </c>
      <c r="AE38" s="90">
        <f>+'Tuition-2Yr'!AE38+'State Appropriations-2Yr'!AE38+'Local Appropriations-2Yr'!AE38+'Fed Contracts Grnts-2Yr'!AE38+'Other Contracts Grnts-2Yr'!AE38+'Investment Income-2Yr'!AE38+'All Other E&amp;G-2Yr'!AE38</f>
        <v>14189175.115</v>
      </c>
      <c r="AF38" s="90">
        <f>+'Tuition-2Yr'!AF38+'State Appropriations-2Yr'!AF38+'Local Appropriations-2Yr'!AF38+'Fed Contracts Grnts-2Yr'!AF38+'Other Contracts Grnts-2Yr'!AF38+'Investment Income-2Yr'!AF38+'All Other E&amp;G-2Yr'!AF38</f>
        <v>10899282.459000001</v>
      </c>
      <c r="AG38" s="90">
        <f>+'Tuition-2Yr'!AG38+'State Appropriations-2Yr'!AG38+'Local Appropriations-2Yr'!AG38+'Fed Contracts Grnts-2Yr'!AG38+'Other Contracts Grnts-2Yr'!AG38+'Investment Income-2Yr'!AG38+'All Other E&amp;G-2Yr'!AG38</f>
        <v>10926796.585999999</v>
      </c>
      <c r="AH38" s="90">
        <f>+'Tuition-2Yr'!AH38+'State Appropriations-2Yr'!AH38+'Local Appropriations-2Yr'!AH38+'Fed Contracts Grnts-2Yr'!AH38+'Other Contracts Grnts-2Yr'!AH38+'Investment Income-2Yr'!AH38+'All Other E&amp;G-2Yr'!AH38</f>
        <v>13928070.080999998</v>
      </c>
      <c r="AI38" s="90">
        <f>+'Tuition-2Yr'!AI38+'State Appropriations-2Yr'!AI38+'Local Appropriations-2Yr'!AI38+'Fed Contracts Grnts-2Yr'!AI38+'Other Contracts Grnts-2Yr'!AI38+'Investment Income-2Yr'!AI38+'All Other E&amp;G-2Yr'!AI38</f>
        <v>14122418.279000001</v>
      </c>
      <c r="AJ38" s="90">
        <f>+'Tuition-2Yr'!AJ38+'State Appropriations-2Yr'!AJ38+'Local Appropriations-2Yr'!AJ38+'Fed Contracts Grnts-2Yr'!AJ38+'Other Contracts Grnts-2Yr'!AJ38+'Investment Income-2Yr'!AJ38+'All Other E&amp;G-2Yr'!AJ38</f>
        <v>0</v>
      </c>
      <c r="AK38" s="90">
        <f>+'Tuition-2Yr'!AK38+'State Appropriations-2Yr'!AK38+'Local Appropriations-2Yr'!AK38+'Fed Contracts Grnts-2Yr'!AK38+'Other Contracts Grnts-2Yr'!AK38+'Investment Income-2Yr'!AK38+'All Other E&amp;G-2Yr'!AK38</f>
        <v>15523971.231000001</v>
      </c>
    </row>
    <row r="39" spans="1:37" ht="12.75" customHeight="1">
      <c r="A39" s="6" t="s">
        <v>94</v>
      </c>
      <c r="B39" s="90">
        <f>+'Tuition-2Yr'!B39+'State Appropriations-2Yr'!B39+'Local Appropriations-2Yr'!B39+'Fed Contracts Grnts-2Yr'!B39+'Other Contracts Grnts-2Yr'!B39+'Investment Income-2Yr'!B39+'All Other E&amp;G-2Yr'!B39</f>
        <v>0</v>
      </c>
      <c r="C39" s="90">
        <f>+'Tuition-2Yr'!C39+'State Appropriations-2Yr'!C39+'Local Appropriations-2Yr'!C39+'Fed Contracts Grnts-2Yr'!C39+'Other Contracts Grnts-2Yr'!C39+'Investment Income-2Yr'!C39+'All Other E&amp;G-2Yr'!C39</f>
        <v>0</v>
      </c>
      <c r="D39" s="90">
        <f>+'Tuition-2Yr'!D39+'State Appropriations-2Yr'!D39+'Local Appropriations-2Yr'!D39+'Fed Contracts Grnts-2Yr'!D39+'Other Contracts Grnts-2Yr'!D39+'Investment Income-2Yr'!D39+'All Other E&amp;G-2Yr'!D39</f>
        <v>0</v>
      </c>
      <c r="E39" s="90">
        <f>+'Tuition-2Yr'!E39+'State Appropriations-2Yr'!E39+'Local Appropriations-2Yr'!E39+'Fed Contracts Grnts-2Yr'!E39+'Other Contracts Grnts-2Yr'!E39+'Investment Income-2Yr'!E39+'All Other E&amp;G-2Yr'!E39</f>
        <v>0</v>
      </c>
      <c r="F39" s="90">
        <f>+'Tuition-2Yr'!F39+'State Appropriations-2Yr'!F39+'Local Appropriations-2Yr'!F39+'Fed Contracts Grnts-2Yr'!F39+'Other Contracts Grnts-2Yr'!F39+'Investment Income-2Yr'!F39+'All Other E&amp;G-2Yr'!F39</f>
        <v>0</v>
      </c>
      <c r="G39" s="90">
        <f>+'Tuition-2Yr'!G39+'State Appropriations-2Yr'!G39+'Local Appropriations-2Yr'!G39+'Fed Contracts Grnts-2Yr'!G39+'Other Contracts Grnts-2Yr'!G39+'Investment Income-2Yr'!G39+'All Other E&amp;G-2Yr'!G39</f>
        <v>0</v>
      </c>
      <c r="H39" s="90">
        <f>+'Tuition-2Yr'!H39+'State Appropriations-2Yr'!H39+'Local Appropriations-2Yr'!H39+'Fed Contracts Grnts-2Yr'!H39+'Other Contracts Grnts-2Yr'!H39+'Investment Income-2Yr'!H39+'All Other E&amp;G-2Yr'!H39</f>
        <v>0</v>
      </c>
      <c r="I39" s="90">
        <f>+'Tuition-2Yr'!I39+'State Appropriations-2Yr'!I39+'Local Appropriations-2Yr'!I39+'Fed Contracts Grnts-2Yr'!I39+'Other Contracts Grnts-2Yr'!I39+'Investment Income-2Yr'!I39+'All Other E&amp;G-2Yr'!I39</f>
        <v>0</v>
      </c>
      <c r="J39" s="90">
        <f>+'Tuition-2Yr'!J39+'State Appropriations-2Yr'!J39+'Local Appropriations-2Yr'!J39+'Fed Contracts Grnts-2Yr'!J39+'Other Contracts Grnts-2Yr'!J39+'Investment Income-2Yr'!J39+'All Other E&amp;G-2Yr'!J39</f>
        <v>0</v>
      </c>
      <c r="K39" s="90">
        <f>+'Tuition-2Yr'!K39+'State Appropriations-2Yr'!K39+'Local Appropriations-2Yr'!K39+'Fed Contracts Grnts-2Yr'!K39+'Other Contracts Grnts-2Yr'!K39+'Investment Income-2Yr'!K39+'All Other E&amp;G-2Yr'!K39</f>
        <v>0</v>
      </c>
      <c r="L39" s="90">
        <f>+'Tuition-2Yr'!L39+'State Appropriations-2Yr'!L39+'Local Appropriations-2Yr'!L39+'Fed Contracts Grnts-2Yr'!L39+'Other Contracts Grnts-2Yr'!L39+'Investment Income-2Yr'!L39+'All Other E&amp;G-2Yr'!L39</f>
        <v>0</v>
      </c>
      <c r="M39" s="90">
        <f>+'Tuition-2Yr'!M39+'State Appropriations-2Yr'!M39+'Local Appropriations-2Yr'!M39+'Fed Contracts Grnts-2Yr'!M39+'Other Contracts Grnts-2Yr'!M39+'Investment Income-2Yr'!M39+'All Other E&amp;G-2Yr'!M39</f>
        <v>0</v>
      </c>
      <c r="N39" s="90">
        <f>+'Tuition-2Yr'!N39+'State Appropriations-2Yr'!N39+'Local Appropriations-2Yr'!N39+'Fed Contracts Grnts-2Yr'!N39+'Other Contracts Grnts-2Yr'!N39+'Investment Income-2Yr'!N39+'All Other E&amp;G-2Yr'!N39</f>
        <v>0</v>
      </c>
      <c r="O39" s="90">
        <f>+'Tuition-2Yr'!O39+'State Appropriations-2Yr'!O39+'Local Appropriations-2Yr'!O39+'Fed Contracts Grnts-2Yr'!O39+'Other Contracts Grnts-2Yr'!O39+'Investment Income-2Yr'!O39+'All Other E&amp;G-2Yr'!O39</f>
        <v>0</v>
      </c>
      <c r="P39" s="90">
        <f>+'Tuition-2Yr'!P39+'State Appropriations-2Yr'!P39+'Local Appropriations-2Yr'!P39+'Fed Contracts Grnts-2Yr'!P39+'Other Contracts Grnts-2Yr'!P39+'Investment Income-2Yr'!P39+'All Other E&amp;G-2Yr'!P39</f>
        <v>0</v>
      </c>
      <c r="Q39" s="90">
        <f>+'Tuition-2Yr'!Q39+'State Appropriations-2Yr'!Q39+'Local Appropriations-2Yr'!Q39+'Fed Contracts Grnts-2Yr'!Q39+'Other Contracts Grnts-2Yr'!Q39+'Investment Income-2Yr'!Q39+'All Other E&amp;G-2Yr'!Q39</f>
        <v>0</v>
      </c>
      <c r="R39" s="90">
        <f>+'Tuition-2Yr'!R39+'State Appropriations-2Yr'!R39+'Local Appropriations-2Yr'!R39+'Fed Contracts Grnts-2Yr'!R39+'Other Contracts Grnts-2Yr'!R39+'Investment Income-2Yr'!R39+'All Other E&amp;G-2Yr'!R39</f>
        <v>0</v>
      </c>
      <c r="S39" s="90">
        <f>+'Tuition-2Yr'!S39+'State Appropriations-2Yr'!S39+'Local Appropriations-2Yr'!S39+'Fed Contracts Grnts-2Yr'!S39+'Other Contracts Grnts-2Yr'!S39+'Investment Income-2Yr'!S39+'All Other E&amp;G-2Yr'!S39</f>
        <v>0</v>
      </c>
      <c r="T39" s="90">
        <f>+'Tuition-2Yr'!T39+'State Appropriations-2Yr'!T39+'Local Appropriations-2Yr'!T39+'Fed Contracts Grnts-2Yr'!T39+'Other Contracts Grnts-2Yr'!T39+'Investment Income-2Yr'!T39+'All Other E&amp;G-2Yr'!T39</f>
        <v>0</v>
      </c>
      <c r="U39" s="90">
        <f>+'Tuition-2Yr'!U39+'State Appropriations-2Yr'!U39+'Local Appropriations-2Yr'!U39+'Fed Contracts Grnts-2Yr'!U39+'Other Contracts Grnts-2Yr'!U39+'Investment Income-2Yr'!U39+'All Other E&amp;G-2Yr'!U39</f>
        <v>0</v>
      </c>
      <c r="V39" s="90">
        <f>+'Tuition-2Yr'!V39+'State Appropriations-2Yr'!V39+'Local Appropriations-2Yr'!V39+'Fed Contracts Grnts-2Yr'!V39+'Other Contracts Grnts-2Yr'!V39+'Investment Income-2Yr'!V39+'All Other E&amp;G-2Yr'!V39</f>
        <v>0</v>
      </c>
      <c r="W39" s="90">
        <f>+'Tuition-2Yr'!W39+'State Appropriations-2Yr'!W39+'Local Appropriations-2Yr'!W39+'Fed Contracts Grnts-2Yr'!W39+'Other Contracts Grnts-2Yr'!W39+'Investment Income-2Yr'!W39+'All Other E&amp;G-2Yr'!W39</f>
        <v>0</v>
      </c>
      <c r="X39" s="90">
        <f>+'Tuition-2Yr'!X39+'State Appropriations-2Yr'!X39+'Local Appropriations-2Yr'!X39+'Fed Contracts Grnts-2Yr'!X39+'Other Contracts Grnts-2Yr'!X39+'Investment Income-2Yr'!X39+'All Other E&amp;G-2Yr'!X39</f>
        <v>0</v>
      </c>
      <c r="Y39" s="90">
        <f>+'Tuition-2Yr'!Y39+'State Appropriations-2Yr'!Y39+'Local Appropriations-2Yr'!Y39+'Fed Contracts Grnts-2Yr'!Y39+'Other Contracts Grnts-2Yr'!Y39+'Investment Income-2Yr'!Y39+'All Other E&amp;G-2Yr'!Y39</f>
        <v>0</v>
      </c>
      <c r="Z39" s="90">
        <f>+'Tuition-2Yr'!Z39+'State Appropriations-2Yr'!Z39+'Local Appropriations-2Yr'!Z39+'Fed Contracts Grnts-2Yr'!Z39+'Other Contracts Grnts-2Yr'!Z39+'Investment Income-2Yr'!Z39+'All Other E&amp;G-2Yr'!Z39</f>
        <v>0</v>
      </c>
      <c r="AA39" s="90">
        <f>+'Tuition-2Yr'!AA39+'State Appropriations-2Yr'!AA39+'Local Appropriations-2Yr'!AA39+'Fed Contracts Grnts-2Yr'!AA39+'Other Contracts Grnts-2Yr'!AA39+'Investment Income-2Yr'!AA39+'All Other E&amp;G-2Yr'!AA39</f>
        <v>0</v>
      </c>
      <c r="AB39" s="90">
        <f>+'Tuition-2Yr'!AB39+'State Appropriations-2Yr'!AB39+'Local Appropriations-2Yr'!AB39+'Fed Contracts Grnts-2Yr'!AB39+'Other Contracts Grnts-2Yr'!AB39+'Investment Income-2Yr'!AB39+'All Other E&amp;G-2Yr'!AB39</f>
        <v>0</v>
      </c>
      <c r="AC39" s="90">
        <f>+'Tuition-2Yr'!AC39+'State Appropriations-2Yr'!AC39+'Local Appropriations-2Yr'!AC39+'Fed Contracts Grnts-2Yr'!AC39+'Other Contracts Grnts-2Yr'!AC39+'Investment Income-2Yr'!AC39+'All Other E&amp;G-2Yr'!AC39</f>
        <v>0</v>
      </c>
      <c r="AD39" s="90">
        <f>+'Tuition-2Yr'!AD39+'State Appropriations-2Yr'!AD39+'Local Appropriations-2Yr'!AD39+'Fed Contracts Grnts-2Yr'!AD39+'Other Contracts Grnts-2Yr'!AD39+'Investment Income-2Yr'!AD39+'All Other E&amp;G-2Yr'!AD39</f>
        <v>0</v>
      </c>
      <c r="AE39" s="90">
        <f>+'Tuition-2Yr'!AE39+'State Appropriations-2Yr'!AE39+'Local Appropriations-2Yr'!AE39+'Fed Contracts Grnts-2Yr'!AE39+'Other Contracts Grnts-2Yr'!AE39+'Investment Income-2Yr'!AE39+'All Other E&amp;G-2Yr'!AE39</f>
        <v>0</v>
      </c>
      <c r="AF39" s="90">
        <f>+'Tuition-2Yr'!AF39+'State Appropriations-2Yr'!AF39+'Local Appropriations-2Yr'!AF39+'Fed Contracts Grnts-2Yr'!AF39+'Other Contracts Grnts-2Yr'!AF39+'Investment Income-2Yr'!AF39+'All Other E&amp;G-2Yr'!AF39</f>
        <v>0</v>
      </c>
      <c r="AG39" s="90">
        <f>+'Tuition-2Yr'!AG39+'State Appropriations-2Yr'!AG39+'Local Appropriations-2Yr'!AG39+'Fed Contracts Grnts-2Yr'!AG39+'Other Contracts Grnts-2Yr'!AG39+'Investment Income-2Yr'!AG39+'All Other E&amp;G-2Yr'!AG39</f>
        <v>0</v>
      </c>
      <c r="AH39" s="90">
        <f>+'Tuition-2Yr'!AH39+'State Appropriations-2Yr'!AH39+'Local Appropriations-2Yr'!AH39+'Fed Contracts Grnts-2Yr'!AH39+'Other Contracts Grnts-2Yr'!AH39+'Investment Income-2Yr'!AH39+'All Other E&amp;G-2Yr'!AH39</f>
        <v>0</v>
      </c>
      <c r="AI39" s="90">
        <f>+'Tuition-2Yr'!AI39+'State Appropriations-2Yr'!AI39+'Local Appropriations-2Yr'!AI39+'Fed Contracts Grnts-2Yr'!AI39+'Other Contracts Grnts-2Yr'!AI39+'Investment Income-2Yr'!AI39+'All Other E&amp;G-2Yr'!AI39</f>
        <v>0</v>
      </c>
      <c r="AJ39" s="90">
        <f>+'Tuition-2Yr'!AJ39+'State Appropriations-2Yr'!AJ39+'Local Appropriations-2Yr'!AJ39+'Fed Contracts Grnts-2Yr'!AJ39+'Other Contracts Grnts-2Yr'!AJ39+'Investment Income-2Yr'!AJ39+'All Other E&amp;G-2Yr'!AJ39</f>
        <v>0</v>
      </c>
      <c r="AK39" s="90">
        <f>+'Tuition-2Yr'!AK39+'State Appropriations-2Yr'!AK39+'Local Appropriations-2Yr'!AK39+'Fed Contracts Grnts-2Yr'!AK39+'Other Contracts Grnts-2Yr'!AK39+'Investment Income-2Yr'!AK39+'All Other E&amp;G-2Yr'!AK39</f>
        <v>0</v>
      </c>
    </row>
    <row r="40" spans="1:37" ht="12.75" customHeight="1">
      <c r="A40" s="1" t="s">
        <v>52</v>
      </c>
      <c r="B40" s="90">
        <f>+'Tuition-2Yr'!B40+'State Appropriations-2Yr'!B40+'Local Appropriations-2Yr'!B40+'Fed Contracts Grnts-2Yr'!B40+'Other Contracts Grnts-2Yr'!B40+'Investment Income-2Yr'!B40+'All Other E&amp;G-2Yr'!B40</f>
        <v>0</v>
      </c>
      <c r="C40" s="90">
        <f>+'Tuition-2Yr'!C40+'State Appropriations-2Yr'!C40+'Local Appropriations-2Yr'!C40+'Fed Contracts Grnts-2Yr'!C40+'Other Contracts Grnts-2Yr'!C40+'Investment Income-2Yr'!C40+'All Other E&amp;G-2Yr'!C40</f>
        <v>0</v>
      </c>
      <c r="D40" s="90">
        <f>+'Tuition-2Yr'!D40+'State Appropriations-2Yr'!D40+'Local Appropriations-2Yr'!D40+'Fed Contracts Grnts-2Yr'!D40+'Other Contracts Grnts-2Yr'!D40+'Investment Income-2Yr'!D40+'All Other E&amp;G-2Yr'!D40</f>
        <v>0</v>
      </c>
      <c r="E40" s="90">
        <f>+'Tuition-2Yr'!E40+'State Appropriations-2Yr'!E40+'Local Appropriations-2Yr'!E40+'Fed Contracts Grnts-2Yr'!E40+'Other Contracts Grnts-2Yr'!E40+'Investment Income-2Yr'!E40+'All Other E&amp;G-2Yr'!E40</f>
        <v>0</v>
      </c>
      <c r="F40" s="90">
        <f>+'Tuition-2Yr'!F40+'State Appropriations-2Yr'!F40+'Local Appropriations-2Yr'!F40+'Fed Contracts Grnts-2Yr'!F40+'Other Contracts Grnts-2Yr'!F40+'Investment Income-2Yr'!F40+'All Other E&amp;G-2Yr'!F40</f>
        <v>0</v>
      </c>
      <c r="G40" s="90">
        <f>+'Tuition-2Yr'!G40+'State Appropriations-2Yr'!G40+'Local Appropriations-2Yr'!G40+'Fed Contracts Grnts-2Yr'!G40+'Other Contracts Grnts-2Yr'!G40+'Investment Income-2Yr'!G40+'All Other E&amp;G-2Yr'!G40</f>
        <v>0</v>
      </c>
      <c r="H40" s="90">
        <f>+'Tuition-2Yr'!H40+'State Appropriations-2Yr'!H40+'Local Appropriations-2Yr'!H40+'Fed Contracts Grnts-2Yr'!H40+'Other Contracts Grnts-2Yr'!H40+'Investment Income-2Yr'!H40+'All Other E&amp;G-2Yr'!H40</f>
        <v>0</v>
      </c>
      <c r="I40" s="90">
        <f>+'Tuition-2Yr'!I40+'State Appropriations-2Yr'!I40+'Local Appropriations-2Yr'!I40+'Fed Contracts Grnts-2Yr'!I40+'Other Contracts Grnts-2Yr'!I40+'Investment Income-2Yr'!I40+'All Other E&amp;G-2Yr'!I40</f>
        <v>0</v>
      </c>
      <c r="J40" s="90">
        <f>+'Tuition-2Yr'!J40+'State Appropriations-2Yr'!J40+'Local Appropriations-2Yr'!J40+'Fed Contracts Grnts-2Yr'!J40+'Other Contracts Grnts-2Yr'!J40+'Investment Income-2Yr'!J40+'All Other E&amp;G-2Yr'!J40</f>
        <v>953707.83900000004</v>
      </c>
      <c r="K40" s="90">
        <f>+'Tuition-2Yr'!K40+'State Appropriations-2Yr'!K40+'Local Appropriations-2Yr'!K40+'Fed Contracts Grnts-2Yr'!K40+'Other Contracts Grnts-2Yr'!K40+'Investment Income-2Yr'!K40+'All Other E&amp;G-2Yr'!K40</f>
        <v>0</v>
      </c>
      <c r="L40" s="90">
        <f>+'Tuition-2Yr'!L40+'State Appropriations-2Yr'!L40+'Local Appropriations-2Yr'!L40+'Fed Contracts Grnts-2Yr'!L40+'Other Contracts Grnts-2Yr'!L40+'Investment Income-2Yr'!L40+'All Other E&amp;G-2Yr'!L40</f>
        <v>0</v>
      </c>
      <c r="M40" s="90">
        <f>+'Tuition-2Yr'!M40+'State Appropriations-2Yr'!M40+'Local Appropriations-2Yr'!M40+'Fed Contracts Grnts-2Yr'!M40+'Other Contracts Grnts-2Yr'!M40+'Investment Income-2Yr'!M40+'All Other E&amp;G-2Yr'!M40</f>
        <v>1186249.307</v>
      </c>
      <c r="N40" s="90">
        <f>+'Tuition-2Yr'!N40+'State Appropriations-2Yr'!N40+'Local Appropriations-2Yr'!N40+'Fed Contracts Grnts-2Yr'!N40+'Other Contracts Grnts-2Yr'!N40+'Investment Income-2Yr'!N40+'All Other E&amp;G-2Yr'!N40</f>
        <v>0</v>
      </c>
      <c r="O40" s="90">
        <f>+'Tuition-2Yr'!O40+'State Appropriations-2Yr'!O40+'Local Appropriations-2Yr'!O40+'Fed Contracts Grnts-2Yr'!O40+'Other Contracts Grnts-2Yr'!O40+'Investment Income-2Yr'!O40+'All Other E&amp;G-2Yr'!O40</f>
        <v>1310992.59598</v>
      </c>
      <c r="P40" s="90">
        <f>+'Tuition-2Yr'!P40+'State Appropriations-2Yr'!P40+'Local Appropriations-2Yr'!P40+'Fed Contracts Grnts-2Yr'!P40+'Other Contracts Grnts-2Yr'!P40+'Investment Income-2Yr'!P40+'All Other E&amp;G-2Yr'!P40</f>
        <v>0</v>
      </c>
      <c r="Q40" s="90">
        <f>+'Tuition-2Yr'!Q40+'State Appropriations-2Yr'!Q40+'Local Appropriations-2Yr'!Q40+'Fed Contracts Grnts-2Yr'!Q40+'Other Contracts Grnts-2Yr'!Q40+'Investment Income-2Yr'!Q40+'All Other E&amp;G-2Yr'!Q40</f>
        <v>0</v>
      </c>
      <c r="R40" s="90">
        <f>+'Tuition-2Yr'!R40+'State Appropriations-2Yr'!R40+'Local Appropriations-2Yr'!R40+'Fed Contracts Grnts-2Yr'!R40+'Other Contracts Grnts-2Yr'!R40+'Investment Income-2Yr'!R40+'All Other E&amp;G-2Yr'!R40</f>
        <v>1533775.6979999999</v>
      </c>
      <c r="S40" s="90">
        <f>+'Tuition-2Yr'!S40+'State Appropriations-2Yr'!S40+'Local Appropriations-2Yr'!S40+'Fed Contracts Grnts-2Yr'!S40+'Other Contracts Grnts-2Yr'!S40+'Investment Income-2Yr'!S40+'All Other E&amp;G-2Yr'!S40</f>
        <v>1641668.4729999998</v>
      </c>
      <c r="T40" s="90">
        <f>+'Tuition-2Yr'!T40+'State Appropriations-2Yr'!T40+'Local Appropriations-2Yr'!T40+'Fed Contracts Grnts-2Yr'!T40+'Other Contracts Grnts-2Yr'!T40+'Investment Income-2Yr'!T40+'All Other E&amp;G-2Yr'!T40</f>
        <v>1846327.7270000002</v>
      </c>
      <c r="U40" s="90">
        <f>+'Tuition-2Yr'!U40+'State Appropriations-2Yr'!U40+'Local Appropriations-2Yr'!U40+'Fed Contracts Grnts-2Yr'!U40+'Other Contracts Grnts-2Yr'!U40+'Investment Income-2Yr'!U40+'All Other E&amp;G-2Yr'!U40</f>
        <v>1714239.0739999996</v>
      </c>
      <c r="V40" s="90">
        <f>+'Tuition-2Yr'!V40+'State Appropriations-2Yr'!V40+'Local Appropriations-2Yr'!V40+'Fed Contracts Grnts-2Yr'!V40+'Other Contracts Grnts-2Yr'!V40+'Investment Income-2Yr'!V40+'All Other E&amp;G-2Yr'!V40</f>
        <v>2064307.1099999999</v>
      </c>
      <c r="W40" s="90">
        <f>+'Tuition-2Yr'!W40+'State Appropriations-2Yr'!W40+'Local Appropriations-2Yr'!W40+'Fed Contracts Grnts-2Yr'!W40+'Other Contracts Grnts-2Yr'!W40+'Investment Income-2Yr'!W40+'All Other E&amp;G-2Yr'!W40</f>
        <v>1989833.625</v>
      </c>
      <c r="X40" s="90">
        <f>+'Tuition-2Yr'!X40+'State Appropriations-2Yr'!X40+'Local Appropriations-2Yr'!X40+'Fed Contracts Grnts-2Yr'!X40+'Other Contracts Grnts-2Yr'!X40+'Investment Income-2Yr'!X40+'All Other E&amp;G-2Yr'!X40</f>
        <v>1994150.4740000002</v>
      </c>
      <c r="Y40" s="90">
        <f>+'Tuition-2Yr'!Y40+'State Appropriations-2Yr'!Y40+'Local Appropriations-2Yr'!Y40+'Fed Contracts Grnts-2Yr'!Y40+'Other Contracts Grnts-2Yr'!Y40+'Investment Income-2Yr'!Y40+'All Other E&amp;G-2Yr'!Y40</f>
        <v>2091069.2289999998</v>
      </c>
      <c r="Z40" s="90">
        <f>+'Tuition-2Yr'!Z40+'State Appropriations-2Yr'!Z40+'Local Appropriations-2Yr'!Z40+'Fed Contracts Grnts-2Yr'!Z40+'Other Contracts Grnts-2Yr'!Z40+'Investment Income-2Yr'!Z40+'All Other E&amp;G-2Yr'!Z40</f>
        <v>2246360.3160000001</v>
      </c>
      <c r="AA40" s="90">
        <f>+'Tuition-2Yr'!AA40+'State Appropriations-2Yr'!AA40+'Local Appropriations-2Yr'!AA40+'Fed Contracts Grnts-2Yr'!AA40+'Other Contracts Grnts-2Yr'!AA40+'Investment Income-2Yr'!AA40+'All Other E&amp;G-2Yr'!AA40</f>
        <v>2523399.7760000001</v>
      </c>
      <c r="AB40" s="90">
        <f>+'Tuition-2Yr'!AB40+'State Appropriations-2Yr'!AB40+'Local Appropriations-2Yr'!AB40+'Fed Contracts Grnts-2Yr'!AB40+'Other Contracts Grnts-2Yr'!AB40+'Investment Income-2Yr'!AB40+'All Other E&amp;G-2Yr'!AB40</f>
        <v>2893693.3820000002</v>
      </c>
      <c r="AC40" s="90">
        <f>+'Tuition-2Yr'!AC40+'State Appropriations-2Yr'!AC40+'Local Appropriations-2Yr'!AC40+'Fed Contracts Grnts-2Yr'!AC40+'Other Contracts Grnts-2Yr'!AC40+'Investment Income-2Yr'!AC40+'All Other E&amp;G-2Yr'!AC40</f>
        <v>3159041</v>
      </c>
      <c r="AD40" s="90">
        <f>+'Tuition-2Yr'!AD40+'State Appropriations-2Yr'!AD40+'Local Appropriations-2Yr'!AD40+'Fed Contracts Grnts-2Yr'!AD40+'Other Contracts Grnts-2Yr'!AD40+'Investment Income-2Yr'!AD40+'All Other E&amp;G-2Yr'!AD40</f>
        <v>3188527.3360000001</v>
      </c>
      <c r="AE40" s="90">
        <f>+'Tuition-2Yr'!AE40+'State Appropriations-2Yr'!AE40+'Local Appropriations-2Yr'!AE40+'Fed Contracts Grnts-2Yr'!AE40+'Other Contracts Grnts-2Yr'!AE40+'Investment Income-2Yr'!AE40+'All Other E&amp;G-2Yr'!AE40</f>
        <v>3267319.6569999997</v>
      </c>
      <c r="AF40" s="90">
        <f>+'Tuition-2Yr'!AF40+'State Appropriations-2Yr'!AF40+'Local Appropriations-2Yr'!AF40+'Fed Contracts Grnts-2Yr'!AF40+'Other Contracts Grnts-2Yr'!AF40+'Investment Income-2Yr'!AF40+'All Other E&amp;G-2Yr'!AF40</f>
        <v>1952303.64</v>
      </c>
      <c r="AG40" s="90">
        <f>+'Tuition-2Yr'!AG40+'State Appropriations-2Yr'!AG40+'Local Appropriations-2Yr'!AG40+'Fed Contracts Grnts-2Yr'!AG40+'Other Contracts Grnts-2Yr'!AG40+'Investment Income-2Yr'!AG40+'All Other E&amp;G-2Yr'!AG40</f>
        <v>1985352.0430000001</v>
      </c>
      <c r="AH40" s="90">
        <f>+'Tuition-2Yr'!AH40+'State Appropriations-2Yr'!AH40+'Local Appropriations-2Yr'!AH40+'Fed Contracts Grnts-2Yr'!AH40+'Other Contracts Grnts-2Yr'!AH40+'Investment Income-2Yr'!AH40+'All Other E&amp;G-2Yr'!AH40</f>
        <v>3227278.54</v>
      </c>
      <c r="AI40" s="90">
        <f>+'Tuition-2Yr'!AI40+'State Appropriations-2Yr'!AI40+'Local Appropriations-2Yr'!AI40+'Fed Contracts Grnts-2Yr'!AI40+'Other Contracts Grnts-2Yr'!AI40+'Investment Income-2Yr'!AI40+'All Other E&amp;G-2Yr'!AI40</f>
        <v>3511064.5479999995</v>
      </c>
      <c r="AJ40" s="90">
        <f>+'Tuition-2Yr'!AJ40+'State Appropriations-2Yr'!AJ40+'Local Appropriations-2Yr'!AJ40+'Fed Contracts Grnts-2Yr'!AJ40+'Other Contracts Grnts-2Yr'!AJ40+'Investment Income-2Yr'!AJ40+'All Other E&amp;G-2Yr'!AJ40</f>
        <v>0</v>
      </c>
      <c r="AK40" s="90">
        <f>+'Tuition-2Yr'!AK40+'State Appropriations-2Yr'!AK40+'Local Appropriations-2Yr'!AK40+'Fed Contracts Grnts-2Yr'!AK40+'Other Contracts Grnts-2Yr'!AK40+'Investment Income-2Yr'!AK40+'All Other E&amp;G-2Yr'!AK40</f>
        <v>3903875.9120000005</v>
      </c>
    </row>
    <row r="41" spans="1:37" ht="12.75" customHeight="1">
      <c r="A41" s="1" t="s">
        <v>53</v>
      </c>
      <c r="B41" s="90">
        <f>+'Tuition-2Yr'!B41+'State Appropriations-2Yr'!B41+'Local Appropriations-2Yr'!B41+'Fed Contracts Grnts-2Yr'!B41+'Other Contracts Grnts-2Yr'!B41+'Investment Income-2Yr'!B41+'All Other E&amp;G-2Yr'!B41</f>
        <v>0</v>
      </c>
      <c r="C41" s="90">
        <f>+'Tuition-2Yr'!C41+'State Appropriations-2Yr'!C41+'Local Appropriations-2Yr'!C41+'Fed Contracts Grnts-2Yr'!C41+'Other Contracts Grnts-2Yr'!C41+'Investment Income-2Yr'!C41+'All Other E&amp;G-2Yr'!C41</f>
        <v>0</v>
      </c>
      <c r="D41" s="90">
        <f>+'Tuition-2Yr'!D41+'State Appropriations-2Yr'!D41+'Local Appropriations-2Yr'!D41+'Fed Contracts Grnts-2Yr'!D41+'Other Contracts Grnts-2Yr'!D41+'Investment Income-2Yr'!D41+'All Other E&amp;G-2Yr'!D41</f>
        <v>0</v>
      </c>
      <c r="E41" s="90">
        <f>+'Tuition-2Yr'!E41+'State Appropriations-2Yr'!E41+'Local Appropriations-2Yr'!E41+'Fed Contracts Grnts-2Yr'!E41+'Other Contracts Grnts-2Yr'!E41+'Investment Income-2Yr'!E41+'All Other E&amp;G-2Yr'!E41</f>
        <v>0</v>
      </c>
      <c r="F41" s="90">
        <f>+'Tuition-2Yr'!F41+'State Appropriations-2Yr'!F41+'Local Appropriations-2Yr'!F41+'Fed Contracts Grnts-2Yr'!F41+'Other Contracts Grnts-2Yr'!F41+'Investment Income-2Yr'!F41+'All Other E&amp;G-2Yr'!F41</f>
        <v>0</v>
      </c>
      <c r="G41" s="90">
        <f>+'Tuition-2Yr'!G41+'State Appropriations-2Yr'!G41+'Local Appropriations-2Yr'!G41+'Fed Contracts Grnts-2Yr'!G41+'Other Contracts Grnts-2Yr'!G41+'Investment Income-2Yr'!G41+'All Other E&amp;G-2Yr'!G41</f>
        <v>0</v>
      </c>
      <c r="H41" s="90">
        <f>+'Tuition-2Yr'!H41+'State Appropriations-2Yr'!H41+'Local Appropriations-2Yr'!H41+'Fed Contracts Grnts-2Yr'!H41+'Other Contracts Grnts-2Yr'!H41+'Investment Income-2Yr'!H41+'All Other E&amp;G-2Yr'!H41</f>
        <v>0</v>
      </c>
      <c r="I41" s="90">
        <f>+'Tuition-2Yr'!I41+'State Appropriations-2Yr'!I41+'Local Appropriations-2Yr'!I41+'Fed Contracts Grnts-2Yr'!I41+'Other Contracts Grnts-2Yr'!I41+'Investment Income-2Yr'!I41+'All Other E&amp;G-2Yr'!I41</f>
        <v>0</v>
      </c>
      <c r="J41" s="90">
        <f>+'Tuition-2Yr'!J41+'State Appropriations-2Yr'!J41+'Local Appropriations-2Yr'!J41+'Fed Contracts Grnts-2Yr'!J41+'Other Contracts Grnts-2Yr'!J41+'Investment Income-2Yr'!J41+'All Other E&amp;G-2Yr'!J41</f>
        <v>176343.34099999996</v>
      </c>
      <c r="K41" s="90">
        <f>+'Tuition-2Yr'!K41+'State Appropriations-2Yr'!K41+'Local Appropriations-2Yr'!K41+'Fed Contracts Grnts-2Yr'!K41+'Other Contracts Grnts-2Yr'!K41+'Investment Income-2Yr'!K41+'All Other E&amp;G-2Yr'!K41</f>
        <v>0</v>
      </c>
      <c r="L41" s="90">
        <f>+'Tuition-2Yr'!L41+'State Appropriations-2Yr'!L41+'Local Appropriations-2Yr'!L41+'Fed Contracts Grnts-2Yr'!L41+'Other Contracts Grnts-2Yr'!L41+'Investment Income-2Yr'!L41+'All Other E&amp;G-2Yr'!L41</f>
        <v>0</v>
      </c>
      <c r="M41" s="90">
        <f>+'Tuition-2Yr'!M41+'State Appropriations-2Yr'!M41+'Local Appropriations-2Yr'!M41+'Fed Contracts Grnts-2Yr'!M41+'Other Contracts Grnts-2Yr'!M41+'Investment Income-2Yr'!M41+'All Other E&amp;G-2Yr'!M41</f>
        <v>190819.01299999998</v>
      </c>
      <c r="N41" s="90">
        <f>+'Tuition-2Yr'!N41+'State Appropriations-2Yr'!N41+'Local Appropriations-2Yr'!N41+'Fed Contracts Grnts-2Yr'!N41+'Other Contracts Grnts-2Yr'!N41+'Investment Income-2Yr'!N41+'All Other E&amp;G-2Yr'!N41</f>
        <v>0</v>
      </c>
      <c r="O41" s="90">
        <f>+'Tuition-2Yr'!O41+'State Appropriations-2Yr'!O41+'Local Appropriations-2Yr'!O41+'Fed Contracts Grnts-2Yr'!O41+'Other Contracts Grnts-2Yr'!O41+'Investment Income-2Yr'!O41+'All Other E&amp;G-2Yr'!O41</f>
        <v>243541.34400000001</v>
      </c>
      <c r="P41" s="90">
        <f>+'Tuition-2Yr'!P41+'State Appropriations-2Yr'!P41+'Local Appropriations-2Yr'!P41+'Fed Contracts Grnts-2Yr'!P41+'Other Contracts Grnts-2Yr'!P41+'Investment Income-2Yr'!P41+'All Other E&amp;G-2Yr'!P41</f>
        <v>0</v>
      </c>
      <c r="Q41" s="90">
        <f>+'Tuition-2Yr'!Q41+'State Appropriations-2Yr'!Q41+'Local Appropriations-2Yr'!Q41+'Fed Contracts Grnts-2Yr'!Q41+'Other Contracts Grnts-2Yr'!Q41+'Investment Income-2Yr'!Q41+'All Other E&amp;G-2Yr'!Q41</f>
        <v>0</v>
      </c>
      <c r="R41" s="90">
        <f>+'Tuition-2Yr'!R41+'State Appropriations-2Yr'!R41+'Local Appropriations-2Yr'!R41+'Fed Contracts Grnts-2Yr'!R41+'Other Contracts Grnts-2Yr'!R41+'Investment Income-2Yr'!R41+'All Other E&amp;G-2Yr'!R41</f>
        <v>264426.94900000002</v>
      </c>
      <c r="S41" s="90">
        <f>+'Tuition-2Yr'!S41+'State Appropriations-2Yr'!S41+'Local Appropriations-2Yr'!S41+'Fed Contracts Grnts-2Yr'!S41+'Other Contracts Grnts-2Yr'!S41+'Investment Income-2Yr'!S41+'All Other E&amp;G-2Yr'!S41</f>
        <v>284212.53600000008</v>
      </c>
      <c r="T41" s="90">
        <f>+'Tuition-2Yr'!T41+'State Appropriations-2Yr'!T41+'Local Appropriations-2Yr'!T41+'Fed Contracts Grnts-2Yr'!T41+'Other Contracts Grnts-2Yr'!T41+'Investment Income-2Yr'!T41+'All Other E&amp;G-2Yr'!T41</f>
        <v>329797.636</v>
      </c>
      <c r="U41" s="90">
        <f>+'Tuition-2Yr'!U41+'State Appropriations-2Yr'!U41+'Local Appropriations-2Yr'!U41+'Fed Contracts Grnts-2Yr'!U41+'Other Contracts Grnts-2Yr'!U41+'Investment Income-2Yr'!U41+'All Other E&amp;G-2Yr'!U41</f>
        <v>347775.12700000004</v>
      </c>
      <c r="V41" s="90">
        <f>+'Tuition-2Yr'!V41+'State Appropriations-2Yr'!V41+'Local Appropriations-2Yr'!V41+'Fed Contracts Grnts-2Yr'!V41+'Other Contracts Grnts-2Yr'!V41+'Investment Income-2Yr'!V41+'All Other E&amp;G-2Yr'!V41</f>
        <v>283129.54199999996</v>
      </c>
      <c r="W41" s="90">
        <f>+'Tuition-2Yr'!W41+'State Appropriations-2Yr'!W41+'Local Appropriations-2Yr'!W41+'Fed Contracts Grnts-2Yr'!W41+'Other Contracts Grnts-2Yr'!W41+'Investment Income-2Yr'!W41+'All Other E&amp;G-2Yr'!W41</f>
        <v>341910.52199999994</v>
      </c>
      <c r="X41" s="90">
        <f>+'Tuition-2Yr'!X41+'State Appropriations-2Yr'!X41+'Local Appropriations-2Yr'!X41+'Fed Contracts Grnts-2Yr'!X41+'Other Contracts Grnts-2Yr'!X41+'Investment Income-2Yr'!X41+'All Other E&amp;G-2Yr'!X41</f>
        <v>327698.93399999995</v>
      </c>
      <c r="Y41" s="90">
        <f>+'Tuition-2Yr'!Y41+'State Appropriations-2Yr'!Y41+'Local Appropriations-2Yr'!Y41+'Fed Contracts Grnts-2Yr'!Y41+'Other Contracts Grnts-2Yr'!Y41+'Investment Income-2Yr'!Y41+'All Other E&amp;G-2Yr'!Y41</f>
        <v>347627.54399999999</v>
      </c>
      <c r="Z41" s="90">
        <f>+'Tuition-2Yr'!Z41+'State Appropriations-2Yr'!Z41+'Local Appropriations-2Yr'!Z41+'Fed Contracts Grnts-2Yr'!Z41+'Other Contracts Grnts-2Yr'!Z41+'Investment Income-2Yr'!Z41+'All Other E&amp;G-2Yr'!Z41</f>
        <v>389556.78099999996</v>
      </c>
      <c r="AA41" s="90">
        <f>+'Tuition-2Yr'!AA41+'State Appropriations-2Yr'!AA41+'Local Appropriations-2Yr'!AA41+'Fed Contracts Grnts-2Yr'!AA41+'Other Contracts Grnts-2Yr'!AA41+'Investment Income-2Yr'!AA41+'All Other E&amp;G-2Yr'!AA41</f>
        <v>451261.77899999998</v>
      </c>
      <c r="AB41" s="90">
        <f>+'Tuition-2Yr'!AB41+'State Appropriations-2Yr'!AB41+'Local Appropriations-2Yr'!AB41+'Fed Contracts Grnts-2Yr'!AB41+'Other Contracts Grnts-2Yr'!AB41+'Investment Income-2Yr'!AB41+'All Other E&amp;G-2Yr'!AB41</f>
        <v>606434.05199999991</v>
      </c>
      <c r="AC41" s="90">
        <f>+'Tuition-2Yr'!AC41+'State Appropriations-2Yr'!AC41+'Local Appropriations-2Yr'!AC41+'Fed Contracts Grnts-2Yr'!AC41+'Other Contracts Grnts-2Yr'!AC41+'Investment Income-2Yr'!AC41+'All Other E&amp;G-2Yr'!AC41</f>
        <v>679613</v>
      </c>
      <c r="AD41" s="90">
        <f>+'Tuition-2Yr'!AD41+'State Appropriations-2Yr'!AD41+'Local Appropriations-2Yr'!AD41+'Fed Contracts Grnts-2Yr'!AD41+'Other Contracts Grnts-2Yr'!AD41+'Investment Income-2Yr'!AD41+'All Other E&amp;G-2Yr'!AD41</f>
        <v>804842.31599999988</v>
      </c>
      <c r="AE41" s="90">
        <f>+'Tuition-2Yr'!AE41+'State Appropriations-2Yr'!AE41+'Local Appropriations-2Yr'!AE41+'Fed Contracts Grnts-2Yr'!AE41+'Other Contracts Grnts-2Yr'!AE41+'Investment Income-2Yr'!AE41+'All Other E&amp;G-2Yr'!AE41</f>
        <v>892429.78100000008</v>
      </c>
      <c r="AF41" s="90">
        <f>+'Tuition-2Yr'!AF41+'State Appropriations-2Yr'!AF41+'Local Appropriations-2Yr'!AF41+'Fed Contracts Grnts-2Yr'!AF41+'Other Contracts Grnts-2Yr'!AF41+'Investment Income-2Yr'!AF41+'All Other E&amp;G-2Yr'!AF41</f>
        <v>878959.18700000003</v>
      </c>
      <c r="AG41" s="90">
        <f>+'Tuition-2Yr'!AG41+'State Appropriations-2Yr'!AG41+'Local Appropriations-2Yr'!AG41+'Fed Contracts Grnts-2Yr'!AG41+'Other Contracts Grnts-2Yr'!AG41+'Investment Income-2Yr'!AG41+'All Other E&amp;G-2Yr'!AG41</f>
        <v>849269.50400000007</v>
      </c>
      <c r="AH41" s="90">
        <f>+'Tuition-2Yr'!AH41+'State Appropriations-2Yr'!AH41+'Local Appropriations-2Yr'!AH41+'Fed Contracts Grnts-2Yr'!AH41+'Other Contracts Grnts-2Yr'!AH41+'Investment Income-2Yr'!AH41+'All Other E&amp;G-2Yr'!AH41</f>
        <v>674600.81699999992</v>
      </c>
      <c r="AI41" s="90">
        <f>+'Tuition-2Yr'!AI41+'State Appropriations-2Yr'!AI41+'Local Appropriations-2Yr'!AI41+'Fed Contracts Grnts-2Yr'!AI41+'Other Contracts Grnts-2Yr'!AI41+'Investment Income-2Yr'!AI41+'All Other E&amp;G-2Yr'!AI41</f>
        <v>645964.7159999999</v>
      </c>
      <c r="AJ41" s="90">
        <f>+'Tuition-2Yr'!AJ41+'State Appropriations-2Yr'!AJ41+'Local Appropriations-2Yr'!AJ41+'Fed Contracts Grnts-2Yr'!AJ41+'Other Contracts Grnts-2Yr'!AJ41+'Investment Income-2Yr'!AJ41+'All Other E&amp;G-2Yr'!AJ41</f>
        <v>0</v>
      </c>
      <c r="AK41" s="90">
        <f>+'Tuition-2Yr'!AK41+'State Appropriations-2Yr'!AK41+'Local Appropriations-2Yr'!AK41+'Fed Contracts Grnts-2Yr'!AK41+'Other Contracts Grnts-2Yr'!AK41+'Investment Income-2Yr'!AK41+'All Other E&amp;G-2Yr'!AK41</f>
        <v>912896.81799999985</v>
      </c>
    </row>
    <row r="42" spans="1:37" ht="12.75" customHeight="1">
      <c r="A42" s="1" t="s">
        <v>54</v>
      </c>
      <c r="B42" s="90">
        <f>+'Tuition-2Yr'!B42+'State Appropriations-2Yr'!B42+'Local Appropriations-2Yr'!B42+'Fed Contracts Grnts-2Yr'!B42+'Other Contracts Grnts-2Yr'!B42+'Investment Income-2Yr'!B42+'All Other E&amp;G-2Yr'!B42</f>
        <v>0</v>
      </c>
      <c r="C42" s="90">
        <f>+'Tuition-2Yr'!C42+'State Appropriations-2Yr'!C42+'Local Appropriations-2Yr'!C42+'Fed Contracts Grnts-2Yr'!C42+'Other Contracts Grnts-2Yr'!C42+'Investment Income-2Yr'!C42+'All Other E&amp;G-2Yr'!C42</f>
        <v>0</v>
      </c>
      <c r="D42" s="90">
        <f>+'Tuition-2Yr'!D42+'State Appropriations-2Yr'!D42+'Local Appropriations-2Yr'!D42+'Fed Contracts Grnts-2Yr'!D42+'Other Contracts Grnts-2Yr'!D42+'Investment Income-2Yr'!D42+'All Other E&amp;G-2Yr'!D42</f>
        <v>0</v>
      </c>
      <c r="E42" s="90">
        <f>+'Tuition-2Yr'!E42+'State Appropriations-2Yr'!E42+'Local Appropriations-2Yr'!E42+'Fed Contracts Grnts-2Yr'!E42+'Other Contracts Grnts-2Yr'!E42+'Investment Income-2Yr'!E42+'All Other E&amp;G-2Yr'!E42</f>
        <v>0</v>
      </c>
      <c r="F42" s="90">
        <f>+'Tuition-2Yr'!F42+'State Appropriations-2Yr'!F42+'Local Appropriations-2Yr'!F42+'Fed Contracts Grnts-2Yr'!F42+'Other Contracts Grnts-2Yr'!F42+'Investment Income-2Yr'!F42+'All Other E&amp;G-2Yr'!F42</f>
        <v>0</v>
      </c>
      <c r="G42" s="90">
        <f>+'Tuition-2Yr'!G42+'State Appropriations-2Yr'!G42+'Local Appropriations-2Yr'!G42+'Fed Contracts Grnts-2Yr'!G42+'Other Contracts Grnts-2Yr'!G42+'Investment Income-2Yr'!G42+'All Other E&amp;G-2Yr'!G42</f>
        <v>0</v>
      </c>
      <c r="H42" s="90">
        <f>+'Tuition-2Yr'!H42+'State Appropriations-2Yr'!H42+'Local Appropriations-2Yr'!H42+'Fed Contracts Grnts-2Yr'!H42+'Other Contracts Grnts-2Yr'!H42+'Investment Income-2Yr'!H42+'All Other E&amp;G-2Yr'!H42</f>
        <v>0</v>
      </c>
      <c r="I42" s="90">
        <f>+'Tuition-2Yr'!I42+'State Appropriations-2Yr'!I42+'Local Appropriations-2Yr'!I42+'Fed Contracts Grnts-2Yr'!I42+'Other Contracts Grnts-2Yr'!I42+'Investment Income-2Yr'!I42+'All Other E&amp;G-2Yr'!I42</f>
        <v>0</v>
      </c>
      <c r="J42" s="90">
        <f>+'Tuition-2Yr'!J42+'State Appropriations-2Yr'!J42+'Local Appropriations-2Yr'!J42+'Fed Contracts Grnts-2Yr'!J42+'Other Contracts Grnts-2Yr'!J42+'Investment Income-2Yr'!J42+'All Other E&amp;G-2Yr'!J42</f>
        <v>318398.66300000006</v>
      </c>
      <c r="K42" s="90">
        <f>+'Tuition-2Yr'!K42+'State Appropriations-2Yr'!K42+'Local Appropriations-2Yr'!K42+'Fed Contracts Grnts-2Yr'!K42+'Other Contracts Grnts-2Yr'!K42+'Investment Income-2Yr'!K42+'All Other E&amp;G-2Yr'!K42</f>
        <v>0</v>
      </c>
      <c r="L42" s="90">
        <f>+'Tuition-2Yr'!L42+'State Appropriations-2Yr'!L42+'Local Appropriations-2Yr'!L42+'Fed Contracts Grnts-2Yr'!L42+'Other Contracts Grnts-2Yr'!L42+'Investment Income-2Yr'!L42+'All Other E&amp;G-2Yr'!L42</f>
        <v>0</v>
      </c>
      <c r="M42" s="90">
        <f>+'Tuition-2Yr'!M42+'State Appropriations-2Yr'!M42+'Local Appropriations-2Yr'!M42+'Fed Contracts Grnts-2Yr'!M42+'Other Contracts Grnts-2Yr'!M42+'Investment Income-2Yr'!M42+'All Other E&amp;G-2Yr'!M42</f>
        <v>337008.66699999996</v>
      </c>
      <c r="N42" s="90">
        <f>+'Tuition-2Yr'!N42+'State Appropriations-2Yr'!N42+'Local Appropriations-2Yr'!N42+'Fed Contracts Grnts-2Yr'!N42+'Other Contracts Grnts-2Yr'!N42+'Investment Income-2Yr'!N42+'All Other E&amp;G-2Yr'!N42</f>
        <v>0</v>
      </c>
      <c r="O42" s="90">
        <f>+'Tuition-2Yr'!O42+'State Appropriations-2Yr'!O42+'Local Appropriations-2Yr'!O42+'Fed Contracts Grnts-2Yr'!O42+'Other Contracts Grnts-2Yr'!O42+'Investment Income-2Yr'!O42+'All Other E&amp;G-2Yr'!O42</f>
        <v>364661.76700000005</v>
      </c>
      <c r="P42" s="90">
        <f>+'Tuition-2Yr'!P42+'State Appropriations-2Yr'!P42+'Local Appropriations-2Yr'!P42+'Fed Contracts Grnts-2Yr'!P42+'Other Contracts Grnts-2Yr'!P42+'Investment Income-2Yr'!P42+'All Other E&amp;G-2Yr'!P42</f>
        <v>0</v>
      </c>
      <c r="Q42" s="90">
        <f>+'Tuition-2Yr'!Q42+'State Appropriations-2Yr'!Q42+'Local Appropriations-2Yr'!Q42+'Fed Contracts Grnts-2Yr'!Q42+'Other Contracts Grnts-2Yr'!Q42+'Investment Income-2Yr'!Q42+'All Other E&amp;G-2Yr'!Q42</f>
        <v>0</v>
      </c>
      <c r="R42" s="90">
        <f>+'Tuition-2Yr'!R42+'State Appropriations-2Yr'!R42+'Local Appropriations-2Yr'!R42+'Fed Contracts Grnts-2Yr'!R42+'Other Contracts Grnts-2Yr'!R42+'Investment Income-2Yr'!R42+'All Other E&amp;G-2Yr'!R42</f>
        <v>458732.71600000001</v>
      </c>
      <c r="S42" s="90">
        <f>+'Tuition-2Yr'!S42+'State Appropriations-2Yr'!S42+'Local Appropriations-2Yr'!S42+'Fed Contracts Grnts-2Yr'!S42+'Other Contracts Grnts-2Yr'!S42+'Investment Income-2Yr'!S42+'All Other E&amp;G-2Yr'!S42</f>
        <v>476979.32</v>
      </c>
      <c r="T42" s="90">
        <f>+'Tuition-2Yr'!T42+'State Appropriations-2Yr'!T42+'Local Appropriations-2Yr'!T42+'Fed Contracts Grnts-2Yr'!T42+'Other Contracts Grnts-2Yr'!T42+'Investment Income-2Yr'!T42+'All Other E&amp;G-2Yr'!T42</f>
        <v>500762.19999999995</v>
      </c>
      <c r="U42" s="90">
        <f>+'Tuition-2Yr'!U42+'State Appropriations-2Yr'!U42+'Local Appropriations-2Yr'!U42+'Fed Contracts Grnts-2Yr'!U42+'Other Contracts Grnts-2Yr'!U42+'Investment Income-2Yr'!U42+'All Other E&amp;G-2Yr'!U42</f>
        <v>514284.864</v>
      </c>
      <c r="V42" s="90">
        <f>+'Tuition-2Yr'!V42+'State Appropriations-2Yr'!V42+'Local Appropriations-2Yr'!V42+'Fed Contracts Grnts-2Yr'!V42+'Other Contracts Grnts-2Yr'!V42+'Investment Income-2Yr'!V42+'All Other E&amp;G-2Yr'!V42</f>
        <v>543682.75100000005</v>
      </c>
      <c r="W42" s="90">
        <f>+'Tuition-2Yr'!W42+'State Appropriations-2Yr'!W42+'Local Appropriations-2Yr'!W42+'Fed Contracts Grnts-2Yr'!W42+'Other Contracts Grnts-2Yr'!W42+'Investment Income-2Yr'!W42+'All Other E&amp;G-2Yr'!W42</f>
        <v>622331.15799999994</v>
      </c>
      <c r="X42" s="90">
        <f>+'Tuition-2Yr'!X42+'State Appropriations-2Yr'!X42+'Local Appropriations-2Yr'!X42+'Fed Contracts Grnts-2Yr'!X42+'Other Contracts Grnts-2Yr'!X42+'Investment Income-2Yr'!X42+'All Other E&amp;G-2Yr'!X42</f>
        <v>620638.75000000012</v>
      </c>
      <c r="Y42" s="90">
        <f>+'Tuition-2Yr'!Y42+'State Appropriations-2Yr'!Y42+'Local Appropriations-2Yr'!Y42+'Fed Contracts Grnts-2Yr'!Y42+'Other Contracts Grnts-2Yr'!Y42+'Investment Income-2Yr'!Y42+'All Other E&amp;G-2Yr'!Y42</f>
        <v>655972.60599999991</v>
      </c>
      <c r="Z42" s="90">
        <f>+'Tuition-2Yr'!Z42+'State Appropriations-2Yr'!Z42+'Local Appropriations-2Yr'!Z42+'Fed Contracts Grnts-2Yr'!Z42+'Other Contracts Grnts-2Yr'!Z42+'Investment Income-2Yr'!Z42+'All Other E&amp;G-2Yr'!Z42</f>
        <v>733989.6810000001</v>
      </c>
      <c r="AA42" s="90">
        <f>+'Tuition-2Yr'!AA42+'State Appropriations-2Yr'!AA42+'Local Appropriations-2Yr'!AA42+'Fed Contracts Grnts-2Yr'!AA42+'Other Contracts Grnts-2Yr'!AA42+'Investment Income-2Yr'!AA42+'All Other E&amp;G-2Yr'!AA42</f>
        <v>849494.47200000007</v>
      </c>
      <c r="AB42" s="90">
        <f>+'Tuition-2Yr'!AB42+'State Appropriations-2Yr'!AB42+'Local Appropriations-2Yr'!AB42+'Fed Contracts Grnts-2Yr'!AB42+'Other Contracts Grnts-2Yr'!AB42+'Investment Income-2Yr'!AB42+'All Other E&amp;G-2Yr'!AB42</f>
        <v>927027.98600000015</v>
      </c>
      <c r="AC42" s="90">
        <f>+'Tuition-2Yr'!AC42+'State Appropriations-2Yr'!AC42+'Local Appropriations-2Yr'!AC42+'Fed Contracts Grnts-2Yr'!AC42+'Other Contracts Grnts-2Yr'!AC42+'Investment Income-2Yr'!AC42+'All Other E&amp;G-2Yr'!AC42</f>
        <v>983861</v>
      </c>
      <c r="AD42" s="90">
        <f>+'Tuition-2Yr'!AD42+'State Appropriations-2Yr'!AD42+'Local Appropriations-2Yr'!AD42+'Fed Contracts Grnts-2Yr'!AD42+'Other Contracts Grnts-2Yr'!AD42+'Investment Income-2Yr'!AD42+'All Other E&amp;G-2Yr'!AD42</f>
        <v>972451.56</v>
      </c>
      <c r="AE42" s="90">
        <f>+'Tuition-2Yr'!AE42+'State Appropriations-2Yr'!AE42+'Local Appropriations-2Yr'!AE42+'Fed Contracts Grnts-2Yr'!AE42+'Other Contracts Grnts-2Yr'!AE42+'Investment Income-2Yr'!AE42+'All Other E&amp;G-2Yr'!AE42</f>
        <v>973595.37899999996</v>
      </c>
      <c r="AF42" s="90">
        <f>+'Tuition-2Yr'!AF42+'State Appropriations-2Yr'!AF42+'Local Appropriations-2Yr'!AF42+'Fed Contracts Grnts-2Yr'!AF42+'Other Contracts Grnts-2Yr'!AF42+'Investment Income-2Yr'!AF42+'All Other E&amp;G-2Yr'!AF42</f>
        <v>911738.36300000013</v>
      </c>
      <c r="AG42" s="90">
        <f>+'Tuition-2Yr'!AG42+'State Appropriations-2Yr'!AG42+'Local Appropriations-2Yr'!AG42+'Fed Contracts Grnts-2Yr'!AG42+'Other Contracts Grnts-2Yr'!AG42+'Investment Income-2Yr'!AG42+'All Other E&amp;G-2Yr'!AG42</f>
        <v>940708.18599999987</v>
      </c>
      <c r="AH42" s="90">
        <f>+'Tuition-2Yr'!AH42+'State Appropriations-2Yr'!AH42+'Local Appropriations-2Yr'!AH42+'Fed Contracts Grnts-2Yr'!AH42+'Other Contracts Grnts-2Yr'!AH42+'Investment Income-2Yr'!AH42+'All Other E&amp;G-2Yr'!AH42</f>
        <v>990576.37799999979</v>
      </c>
      <c r="AI42" s="90">
        <f>+'Tuition-2Yr'!AI42+'State Appropriations-2Yr'!AI42+'Local Appropriations-2Yr'!AI42+'Fed Contracts Grnts-2Yr'!AI42+'Other Contracts Grnts-2Yr'!AI42+'Investment Income-2Yr'!AI42+'All Other E&amp;G-2Yr'!AI42</f>
        <v>995451.35699999996</v>
      </c>
      <c r="AJ42" s="90">
        <f>+'Tuition-2Yr'!AJ42+'State Appropriations-2Yr'!AJ42+'Local Appropriations-2Yr'!AJ42+'Fed Contracts Grnts-2Yr'!AJ42+'Other Contracts Grnts-2Yr'!AJ42+'Investment Income-2Yr'!AJ42+'All Other E&amp;G-2Yr'!AJ42</f>
        <v>0</v>
      </c>
      <c r="AK42" s="90">
        <f>+'Tuition-2Yr'!AK42+'State Appropriations-2Yr'!AK42+'Local Appropriations-2Yr'!AK42+'Fed Contracts Grnts-2Yr'!AK42+'Other Contracts Grnts-2Yr'!AK42+'Investment Income-2Yr'!AK42+'All Other E&amp;G-2Yr'!AK42</f>
        <v>1059889.915</v>
      </c>
    </row>
    <row r="43" spans="1:37" ht="12.75" customHeight="1">
      <c r="A43" s="1" t="s">
        <v>55</v>
      </c>
      <c r="B43" s="90">
        <f>+'Tuition-2Yr'!B43+'State Appropriations-2Yr'!B43+'Local Appropriations-2Yr'!B43+'Fed Contracts Grnts-2Yr'!B43+'Other Contracts Grnts-2Yr'!B43+'Investment Income-2Yr'!B43+'All Other E&amp;G-2Yr'!B43</f>
        <v>0</v>
      </c>
      <c r="C43" s="90">
        <f>+'Tuition-2Yr'!C43+'State Appropriations-2Yr'!C43+'Local Appropriations-2Yr'!C43+'Fed Contracts Grnts-2Yr'!C43+'Other Contracts Grnts-2Yr'!C43+'Investment Income-2Yr'!C43+'All Other E&amp;G-2Yr'!C43</f>
        <v>0</v>
      </c>
      <c r="D43" s="90">
        <f>+'Tuition-2Yr'!D43+'State Appropriations-2Yr'!D43+'Local Appropriations-2Yr'!D43+'Fed Contracts Grnts-2Yr'!D43+'Other Contracts Grnts-2Yr'!D43+'Investment Income-2Yr'!D43+'All Other E&amp;G-2Yr'!D43</f>
        <v>0</v>
      </c>
      <c r="E43" s="90">
        <f>+'Tuition-2Yr'!E43+'State Appropriations-2Yr'!E43+'Local Appropriations-2Yr'!E43+'Fed Contracts Grnts-2Yr'!E43+'Other Contracts Grnts-2Yr'!E43+'Investment Income-2Yr'!E43+'All Other E&amp;G-2Yr'!E43</f>
        <v>0</v>
      </c>
      <c r="F43" s="90">
        <f>+'Tuition-2Yr'!F43+'State Appropriations-2Yr'!F43+'Local Appropriations-2Yr'!F43+'Fed Contracts Grnts-2Yr'!F43+'Other Contracts Grnts-2Yr'!F43+'Investment Income-2Yr'!F43+'All Other E&amp;G-2Yr'!F43</f>
        <v>0</v>
      </c>
      <c r="G43" s="90">
        <f>+'Tuition-2Yr'!G43+'State Appropriations-2Yr'!G43+'Local Appropriations-2Yr'!G43+'Fed Contracts Grnts-2Yr'!G43+'Other Contracts Grnts-2Yr'!G43+'Investment Income-2Yr'!G43+'All Other E&amp;G-2Yr'!G43</f>
        <v>0</v>
      </c>
      <c r="H43" s="90">
        <f>+'Tuition-2Yr'!H43+'State Appropriations-2Yr'!H43+'Local Appropriations-2Yr'!H43+'Fed Contracts Grnts-2Yr'!H43+'Other Contracts Grnts-2Yr'!H43+'Investment Income-2Yr'!H43+'All Other E&amp;G-2Yr'!H43</f>
        <v>0</v>
      </c>
      <c r="I43" s="90">
        <f>+'Tuition-2Yr'!I43+'State Appropriations-2Yr'!I43+'Local Appropriations-2Yr'!I43+'Fed Contracts Grnts-2Yr'!I43+'Other Contracts Grnts-2Yr'!I43+'Investment Income-2Yr'!I43+'All Other E&amp;G-2Yr'!I43</f>
        <v>0</v>
      </c>
      <c r="J43" s="90">
        <f>+'Tuition-2Yr'!J43+'State Appropriations-2Yr'!J43+'Local Appropriations-2Yr'!J43+'Fed Contracts Grnts-2Yr'!J43+'Other Contracts Grnts-2Yr'!J43+'Investment Income-2Yr'!J43+'All Other E&amp;G-2Yr'!J43</f>
        <v>219791.20200000002</v>
      </c>
      <c r="K43" s="90">
        <f>+'Tuition-2Yr'!K43+'State Appropriations-2Yr'!K43+'Local Appropriations-2Yr'!K43+'Fed Contracts Grnts-2Yr'!K43+'Other Contracts Grnts-2Yr'!K43+'Investment Income-2Yr'!K43+'All Other E&amp;G-2Yr'!K43</f>
        <v>0</v>
      </c>
      <c r="L43" s="90">
        <f>+'Tuition-2Yr'!L43+'State Appropriations-2Yr'!L43+'Local Appropriations-2Yr'!L43+'Fed Contracts Grnts-2Yr'!L43+'Other Contracts Grnts-2Yr'!L43+'Investment Income-2Yr'!L43+'All Other E&amp;G-2Yr'!L43</f>
        <v>0</v>
      </c>
      <c r="M43" s="90">
        <f>+'Tuition-2Yr'!M43+'State Appropriations-2Yr'!M43+'Local Appropriations-2Yr'!M43+'Fed Contracts Grnts-2Yr'!M43+'Other Contracts Grnts-2Yr'!M43+'Investment Income-2Yr'!M43+'All Other E&amp;G-2Yr'!M43</f>
        <v>278706.24800000002</v>
      </c>
      <c r="N43" s="90">
        <f>+'Tuition-2Yr'!N43+'State Appropriations-2Yr'!N43+'Local Appropriations-2Yr'!N43+'Fed Contracts Grnts-2Yr'!N43+'Other Contracts Grnts-2Yr'!N43+'Investment Income-2Yr'!N43+'All Other E&amp;G-2Yr'!N43</f>
        <v>0</v>
      </c>
      <c r="O43" s="90">
        <f>+'Tuition-2Yr'!O43+'State Appropriations-2Yr'!O43+'Local Appropriations-2Yr'!O43+'Fed Contracts Grnts-2Yr'!O43+'Other Contracts Grnts-2Yr'!O43+'Investment Income-2Yr'!O43+'All Other E&amp;G-2Yr'!O43</f>
        <v>306709.15748000005</v>
      </c>
      <c r="P43" s="90">
        <f>+'Tuition-2Yr'!P43+'State Appropriations-2Yr'!P43+'Local Appropriations-2Yr'!P43+'Fed Contracts Grnts-2Yr'!P43+'Other Contracts Grnts-2Yr'!P43+'Investment Income-2Yr'!P43+'All Other E&amp;G-2Yr'!P43</f>
        <v>0</v>
      </c>
      <c r="Q43" s="90">
        <f>+'Tuition-2Yr'!Q43+'State Appropriations-2Yr'!Q43+'Local Appropriations-2Yr'!Q43+'Fed Contracts Grnts-2Yr'!Q43+'Other Contracts Grnts-2Yr'!Q43+'Investment Income-2Yr'!Q43+'All Other E&amp;G-2Yr'!Q43</f>
        <v>0</v>
      </c>
      <c r="R43" s="90">
        <f>+'Tuition-2Yr'!R43+'State Appropriations-2Yr'!R43+'Local Appropriations-2Yr'!R43+'Fed Contracts Grnts-2Yr'!R43+'Other Contracts Grnts-2Yr'!R43+'Investment Income-2Yr'!R43+'All Other E&amp;G-2Yr'!R43</f>
        <v>350474.95699999999</v>
      </c>
      <c r="S43" s="90">
        <f>+'Tuition-2Yr'!S43+'State Appropriations-2Yr'!S43+'Local Appropriations-2Yr'!S43+'Fed Contracts Grnts-2Yr'!S43+'Other Contracts Grnts-2Yr'!S43+'Investment Income-2Yr'!S43+'All Other E&amp;G-2Yr'!S43</f>
        <v>377445.59599999996</v>
      </c>
      <c r="T43" s="90">
        <f>+'Tuition-2Yr'!T43+'State Appropriations-2Yr'!T43+'Local Appropriations-2Yr'!T43+'Fed Contracts Grnts-2Yr'!T43+'Other Contracts Grnts-2Yr'!T43+'Investment Income-2Yr'!T43+'All Other E&amp;G-2Yr'!T43</f>
        <v>416801.77899999992</v>
      </c>
      <c r="U43" s="90">
        <f>+'Tuition-2Yr'!U43+'State Appropriations-2Yr'!U43+'Local Appropriations-2Yr'!U43+'Fed Contracts Grnts-2Yr'!U43+'Other Contracts Grnts-2Yr'!U43+'Investment Income-2Yr'!U43+'All Other E&amp;G-2Yr'!U43</f>
        <v>438902.75599999999</v>
      </c>
      <c r="V43" s="90">
        <f>+'Tuition-2Yr'!V43+'State Appropriations-2Yr'!V43+'Local Appropriations-2Yr'!V43+'Fed Contracts Grnts-2Yr'!V43+'Other Contracts Grnts-2Yr'!V43+'Investment Income-2Yr'!V43+'All Other E&amp;G-2Yr'!V43</f>
        <v>449334.9040000001</v>
      </c>
      <c r="W43" s="90">
        <f>+'Tuition-2Yr'!W43+'State Appropriations-2Yr'!W43+'Local Appropriations-2Yr'!W43+'Fed Contracts Grnts-2Yr'!W43+'Other Contracts Grnts-2Yr'!W43+'Investment Income-2Yr'!W43+'All Other E&amp;G-2Yr'!W43</f>
        <v>499224.31500000006</v>
      </c>
      <c r="X43" s="90">
        <f>+'Tuition-2Yr'!X43+'State Appropriations-2Yr'!X43+'Local Appropriations-2Yr'!X43+'Fed Contracts Grnts-2Yr'!X43+'Other Contracts Grnts-2Yr'!X43+'Investment Income-2Yr'!X43+'All Other E&amp;G-2Yr'!X43</f>
        <v>511430.35800000007</v>
      </c>
      <c r="Y43" s="90">
        <f>+'Tuition-2Yr'!Y43+'State Appropriations-2Yr'!Y43+'Local Appropriations-2Yr'!Y43+'Fed Contracts Grnts-2Yr'!Y43+'Other Contracts Grnts-2Yr'!Y43+'Investment Income-2Yr'!Y43+'All Other E&amp;G-2Yr'!Y43</f>
        <v>543262.69099999999</v>
      </c>
      <c r="Z43" s="90">
        <f>+'Tuition-2Yr'!Z43+'State Appropriations-2Yr'!Z43+'Local Appropriations-2Yr'!Z43+'Fed Contracts Grnts-2Yr'!Z43+'Other Contracts Grnts-2Yr'!Z43+'Investment Income-2Yr'!Z43+'All Other E&amp;G-2Yr'!Z43</f>
        <v>562252.25899999996</v>
      </c>
      <c r="AA43" s="90">
        <f>+'Tuition-2Yr'!AA43+'State Appropriations-2Yr'!AA43+'Local Appropriations-2Yr'!AA43+'Fed Contracts Grnts-2Yr'!AA43+'Other Contracts Grnts-2Yr'!AA43+'Investment Income-2Yr'!AA43+'All Other E&amp;G-2Yr'!AA43</f>
        <v>636912.52200000011</v>
      </c>
      <c r="AB43" s="90">
        <f>+'Tuition-2Yr'!AB43+'State Appropriations-2Yr'!AB43+'Local Appropriations-2Yr'!AB43+'Fed Contracts Grnts-2Yr'!AB43+'Other Contracts Grnts-2Yr'!AB43+'Investment Income-2Yr'!AB43+'All Other E&amp;G-2Yr'!AB43</f>
        <v>676365.90700000012</v>
      </c>
      <c r="AC43" s="90">
        <f>+'Tuition-2Yr'!AC43+'State Appropriations-2Yr'!AC43+'Local Appropriations-2Yr'!AC43+'Fed Contracts Grnts-2Yr'!AC43+'Other Contracts Grnts-2Yr'!AC43+'Investment Income-2Yr'!AC43+'All Other E&amp;G-2Yr'!AC43</f>
        <v>726371</v>
      </c>
      <c r="AD43" s="90">
        <f>+'Tuition-2Yr'!AD43+'State Appropriations-2Yr'!AD43+'Local Appropriations-2Yr'!AD43+'Fed Contracts Grnts-2Yr'!AD43+'Other Contracts Grnts-2Yr'!AD43+'Investment Income-2Yr'!AD43+'All Other E&amp;G-2Yr'!AD43</f>
        <v>706426.89</v>
      </c>
      <c r="AE43" s="90">
        <f>+'Tuition-2Yr'!AE43+'State Appropriations-2Yr'!AE43+'Local Appropriations-2Yr'!AE43+'Fed Contracts Grnts-2Yr'!AE43+'Other Contracts Grnts-2Yr'!AE43+'Investment Income-2Yr'!AE43+'All Other E&amp;G-2Yr'!AE43</f>
        <v>766050.98399999994</v>
      </c>
      <c r="AF43" s="90">
        <f>+'Tuition-2Yr'!AF43+'State Appropriations-2Yr'!AF43+'Local Appropriations-2Yr'!AF43+'Fed Contracts Grnts-2Yr'!AF43+'Other Contracts Grnts-2Yr'!AF43+'Investment Income-2Yr'!AF43+'All Other E&amp;G-2Yr'!AF43</f>
        <v>584634.02499999991</v>
      </c>
      <c r="AG43" s="90">
        <f>+'Tuition-2Yr'!AG43+'State Appropriations-2Yr'!AG43+'Local Appropriations-2Yr'!AG43+'Fed Contracts Grnts-2Yr'!AG43+'Other Contracts Grnts-2Yr'!AG43+'Investment Income-2Yr'!AG43+'All Other E&amp;G-2Yr'!AG43</f>
        <v>611777.36699999997</v>
      </c>
      <c r="AH43" s="90">
        <f>+'Tuition-2Yr'!AH43+'State Appropriations-2Yr'!AH43+'Local Appropriations-2Yr'!AH43+'Fed Contracts Grnts-2Yr'!AH43+'Other Contracts Grnts-2Yr'!AH43+'Investment Income-2Yr'!AH43+'All Other E&amp;G-2Yr'!AH43</f>
        <v>767764.37899999996</v>
      </c>
      <c r="AI43" s="90">
        <f>+'Tuition-2Yr'!AI43+'State Appropriations-2Yr'!AI43+'Local Appropriations-2Yr'!AI43+'Fed Contracts Grnts-2Yr'!AI43+'Other Contracts Grnts-2Yr'!AI43+'Investment Income-2Yr'!AI43+'All Other E&amp;G-2Yr'!AI43</f>
        <v>782313.92200000002</v>
      </c>
      <c r="AJ43" s="90">
        <f>+'Tuition-2Yr'!AJ43+'State Appropriations-2Yr'!AJ43+'Local Appropriations-2Yr'!AJ43+'Fed Contracts Grnts-2Yr'!AJ43+'Other Contracts Grnts-2Yr'!AJ43+'Investment Income-2Yr'!AJ43+'All Other E&amp;G-2Yr'!AJ43</f>
        <v>0</v>
      </c>
      <c r="AK43" s="90">
        <f>+'Tuition-2Yr'!AK43+'State Appropriations-2Yr'!AK43+'Local Appropriations-2Yr'!AK43+'Fed Contracts Grnts-2Yr'!AK43+'Other Contracts Grnts-2Yr'!AK43+'Investment Income-2Yr'!AK43+'All Other E&amp;G-2Yr'!AK43</f>
        <v>900552.54800000007</v>
      </c>
    </row>
    <row r="44" spans="1:37" ht="12.75" customHeight="1">
      <c r="A44" s="1" t="s">
        <v>56</v>
      </c>
      <c r="B44" s="90">
        <f>+'Tuition-2Yr'!B44+'State Appropriations-2Yr'!B44+'Local Appropriations-2Yr'!B44+'Fed Contracts Grnts-2Yr'!B44+'Other Contracts Grnts-2Yr'!B44+'Investment Income-2Yr'!B44+'All Other E&amp;G-2Yr'!B44</f>
        <v>0</v>
      </c>
      <c r="C44" s="90">
        <f>+'Tuition-2Yr'!C44+'State Appropriations-2Yr'!C44+'Local Appropriations-2Yr'!C44+'Fed Contracts Grnts-2Yr'!C44+'Other Contracts Grnts-2Yr'!C44+'Investment Income-2Yr'!C44+'All Other E&amp;G-2Yr'!C44</f>
        <v>0</v>
      </c>
      <c r="D44" s="90">
        <f>+'Tuition-2Yr'!D44+'State Appropriations-2Yr'!D44+'Local Appropriations-2Yr'!D44+'Fed Contracts Grnts-2Yr'!D44+'Other Contracts Grnts-2Yr'!D44+'Investment Income-2Yr'!D44+'All Other E&amp;G-2Yr'!D44</f>
        <v>0</v>
      </c>
      <c r="E44" s="90">
        <f>+'Tuition-2Yr'!E44+'State Appropriations-2Yr'!E44+'Local Appropriations-2Yr'!E44+'Fed Contracts Grnts-2Yr'!E44+'Other Contracts Grnts-2Yr'!E44+'Investment Income-2Yr'!E44+'All Other E&amp;G-2Yr'!E44</f>
        <v>0</v>
      </c>
      <c r="F44" s="90">
        <f>+'Tuition-2Yr'!F44+'State Appropriations-2Yr'!F44+'Local Appropriations-2Yr'!F44+'Fed Contracts Grnts-2Yr'!F44+'Other Contracts Grnts-2Yr'!F44+'Investment Income-2Yr'!F44+'All Other E&amp;G-2Yr'!F44</f>
        <v>0</v>
      </c>
      <c r="G44" s="90">
        <f>+'Tuition-2Yr'!G44+'State Appropriations-2Yr'!G44+'Local Appropriations-2Yr'!G44+'Fed Contracts Grnts-2Yr'!G44+'Other Contracts Grnts-2Yr'!G44+'Investment Income-2Yr'!G44+'All Other E&amp;G-2Yr'!G44</f>
        <v>0</v>
      </c>
      <c r="H44" s="90">
        <f>+'Tuition-2Yr'!H44+'State Appropriations-2Yr'!H44+'Local Appropriations-2Yr'!H44+'Fed Contracts Grnts-2Yr'!H44+'Other Contracts Grnts-2Yr'!H44+'Investment Income-2Yr'!H44+'All Other E&amp;G-2Yr'!H44</f>
        <v>0</v>
      </c>
      <c r="I44" s="90">
        <f>+'Tuition-2Yr'!I44+'State Appropriations-2Yr'!I44+'Local Appropriations-2Yr'!I44+'Fed Contracts Grnts-2Yr'!I44+'Other Contracts Grnts-2Yr'!I44+'Investment Income-2Yr'!I44+'All Other E&amp;G-2Yr'!I44</f>
        <v>0</v>
      </c>
      <c r="J44" s="90">
        <f>+'Tuition-2Yr'!J44+'State Appropriations-2Yr'!J44+'Local Appropriations-2Yr'!J44+'Fed Contracts Grnts-2Yr'!J44+'Other Contracts Grnts-2Yr'!J44+'Investment Income-2Yr'!J44+'All Other E&amp;G-2Yr'!J44</f>
        <v>772406.98100000003</v>
      </c>
      <c r="K44" s="90">
        <f>+'Tuition-2Yr'!K44+'State Appropriations-2Yr'!K44+'Local Appropriations-2Yr'!K44+'Fed Contracts Grnts-2Yr'!K44+'Other Contracts Grnts-2Yr'!K44+'Investment Income-2Yr'!K44+'All Other E&amp;G-2Yr'!K44</f>
        <v>0</v>
      </c>
      <c r="L44" s="90">
        <f>+'Tuition-2Yr'!L44+'State Appropriations-2Yr'!L44+'Local Appropriations-2Yr'!L44+'Fed Contracts Grnts-2Yr'!L44+'Other Contracts Grnts-2Yr'!L44+'Investment Income-2Yr'!L44+'All Other E&amp;G-2Yr'!L44</f>
        <v>0</v>
      </c>
      <c r="M44" s="90">
        <f>+'Tuition-2Yr'!M44+'State Appropriations-2Yr'!M44+'Local Appropriations-2Yr'!M44+'Fed Contracts Grnts-2Yr'!M44+'Other Contracts Grnts-2Yr'!M44+'Investment Income-2Yr'!M44+'All Other E&amp;G-2Yr'!M44</f>
        <v>895065.13199999998</v>
      </c>
      <c r="N44" s="90">
        <f>+'Tuition-2Yr'!N44+'State Appropriations-2Yr'!N44+'Local Appropriations-2Yr'!N44+'Fed Contracts Grnts-2Yr'!N44+'Other Contracts Grnts-2Yr'!N44+'Investment Income-2Yr'!N44+'All Other E&amp;G-2Yr'!N44</f>
        <v>0</v>
      </c>
      <c r="O44" s="90">
        <f>+'Tuition-2Yr'!O44+'State Appropriations-2Yr'!O44+'Local Appropriations-2Yr'!O44+'Fed Contracts Grnts-2Yr'!O44+'Other Contracts Grnts-2Yr'!O44+'Investment Income-2Yr'!O44+'All Other E&amp;G-2Yr'!O44</f>
        <v>872564.63115999999</v>
      </c>
      <c r="P44" s="90">
        <f>+'Tuition-2Yr'!P44+'State Appropriations-2Yr'!P44+'Local Appropriations-2Yr'!P44+'Fed Contracts Grnts-2Yr'!P44+'Other Contracts Grnts-2Yr'!P44+'Investment Income-2Yr'!P44+'All Other E&amp;G-2Yr'!P44</f>
        <v>0</v>
      </c>
      <c r="Q44" s="90">
        <f>+'Tuition-2Yr'!Q44+'State Appropriations-2Yr'!Q44+'Local Appropriations-2Yr'!Q44+'Fed Contracts Grnts-2Yr'!Q44+'Other Contracts Grnts-2Yr'!Q44+'Investment Income-2Yr'!Q44+'All Other E&amp;G-2Yr'!Q44</f>
        <v>0</v>
      </c>
      <c r="R44" s="90">
        <f>+'Tuition-2Yr'!R44+'State Appropriations-2Yr'!R44+'Local Appropriations-2Yr'!R44+'Fed Contracts Grnts-2Yr'!R44+'Other Contracts Grnts-2Yr'!R44+'Investment Income-2Yr'!R44+'All Other E&amp;G-2Yr'!R44</f>
        <v>1078038.3729999999</v>
      </c>
      <c r="S44" s="90">
        <f>+'Tuition-2Yr'!S44+'State Appropriations-2Yr'!S44+'Local Appropriations-2Yr'!S44+'Fed Contracts Grnts-2Yr'!S44+'Other Contracts Grnts-2Yr'!S44+'Investment Income-2Yr'!S44+'All Other E&amp;G-2Yr'!S44</f>
        <v>1138790.3299999998</v>
      </c>
      <c r="T44" s="90">
        <f>+'Tuition-2Yr'!T44+'State Appropriations-2Yr'!T44+'Local Appropriations-2Yr'!T44+'Fed Contracts Grnts-2Yr'!T44+'Other Contracts Grnts-2Yr'!T44+'Investment Income-2Yr'!T44+'All Other E&amp;G-2Yr'!T44</f>
        <v>1237876.8630000001</v>
      </c>
      <c r="U44" s="90">
        <f>+'Tuition-2Yr'!U44+'State Appropriations-2Yr'!U44+'Local Appropriations-2Yr'!U44+'Fed Contracts Grnts-2Yr'!U44+'Other Contracts Grnts-2Yr'!U44+'Investment Income-2Yr'!U44+'All Other E&amp;G-2Yr'!U44</f>
        <v>1351390.8430000001</v>
      </c>
      <c r="V44" s="90">
        <f>+'Tuition-2Yr'!V44+'State Appropriations-2Yr'!V44+'Local Appropriations-2Yr'!V44+'Fed Contracts Grnts-2Yr'!V44+'Other Contracts Grnts-2Yr'!V44+'Investment Income-2Yr'!V44+'All Other E&amp;G-2Yr'!V44</f>
        <v>1361695.9240000001</v>
      </c>
      <c r="W44" s="90">
        <f>+'Tuition-2Yr'!W44+'State Appropriations-2Yr'!W44+'Local Appropriations-2Yr'!W44+'Fed Contracts Grnts-2Yr'!W44+'Other Contracts Grnts-2Yr'!W44+'Investment Income-2Yr'!W44+'All Other E&amp;G-2Yr'!W44</f>
        <v>1545507.7250000001</v>
      </c>
      <c r="X44" s="90">
        <f>+'Tuition-2Yr'!X44+'State Appropriations-2Yr'!X44+'Local Appropriations-2Yr'!X44+'Fed Contracts Grnts-2Yr'!X44+'Other Contracts Grnts-2Yr'!X44+'Investment Income-2Yr'!X44+'All Other E&amp;G-2Yr'!X44</f>
        <v>1512311.4400000002</v>
      </c>
      <c r="Y44" s="90">
        <f>+'Tuition-2Yr'!Y44+'State Appropriations-2Yr'!Y44+'Local Appropriations-2Yr'!Y44+'Fed Contracts Grnts-2Yr'!Y44+'Other Contracts Grnts-2Yr'!Y44+'Investment Income-2Yr'!Y44+'All Other E&amp;G-2Yr'!Y44</f>
        <v>1595886.2489999998</v>
      </c>
      <c r="Z44" s="90">
        <f>+'Tuition-2Yr'!Z44+'State Appropriations-2Yr'!Z44+'Local Appropriations-2Yr'!Z44+'Fed Contracts Grnts-2Yr'!Z44+'Other Contracts Grnts-2Yr'!Z44+'Investment Income-2Yr'!Z44+'All Other E&amp;G-2Yr'!Z44</f>
        <v>1694176.4310000001</v>
      </c>
      <c r="AA44" s="90">
        <f>+'Tuition-2Yr'!AA44+'State Appropriations-2Yr'!AA44+'Local Appropriations-2Yr'!AA44+'Fed Contracts Grnts-2Yr'!AA44+'Other Contracts Grnts-2Yr'!AA44+'Investment Income-2Yr'!AA44+'All Other E&amp;G-2Yr'!AA44</f>
        <v>1928722.726</v>
      </c>
      <c r="AB44" s="90">
        <f>+'Tuition-2Yr'!AB44+'State Appropriations-2Yr'!AB44+'Local Appropriations-2Yr'!AB44+'Fed Contracts Grnts-2Yr'!AB44+'Other Contracts Grnts-2Yr'!AB44+'Investment Income-2Yr'!AB44+'All Other E&amp;G-2Yr'!AB44</f>
        <v>2209374.7290000003</v>
      </c>
      <c r="AC44" s="90">
        <f>+'Tuition-2Yr'!AC44+'State Appropriations-2Yr'!AC44+'Local Appropriations-2Yr'!AC44+'Fed Contracts Grnts-2Yr'!AC44+'Other Contracts Grnts-2Yr'!AC44+'Investment Income-2Yr'!AC44+'All Other E&amp;G-2Yr'!AC44</f>
        <v>2279467</v>
      </c>
      <c r="AD44" s="90">
        <f>+'Tuition-2Yr'!AD44+'State Appropriations-2Yr'!AD44+'Local Appropriations-2Yr'!AD44+'Fed Contracts Grnts-2Yr'!AD44+'Other Contracts Grnts-2Yr'!AD44+'Investment Income-2Yr'!AD44+'All Other E&amp;G-2Yr'!AD44</f>
        <v>2186921.8110000002</v>
      </c>
      <c r="AE44" s="90">
        <f>+'Tuition-2Yr'!AE44+'State Appropriations-2Yr'!AE44+'Local Appropriations-2Yr'!AE44+'Fed Contracts Grnts-2Yr'!AE44+'Other Contracts Grnts-2Yr'!AE44+'Investment Income-2Yr'!AE44+'All Other E&amp;G-2Yr'!AE44</f>
        <v>2083977.1390000002</v>
      </c>
      <c r="AF44" s="90">
        <f>+'Tuition-2Yr'!AF44+'State Appropriations-2Yr'!AF44+'Local Appropriations-2Yr'!AF44+'Fed Contracts Grnts-2Yr'!AF44+'Other Contracts Grnts-2Yr'!AF44+'Investment Income-2Yr'!AF44+'All Other E&amp;G-2Yr'!AF44</f>
        <v>1959749.1770000001</v>
      </c>
      <c r="AG44" s="90">
        <f>+'Tuition-2Yr'!AG44+'State Appropriations-2Yr'!AG44+'Local Appropriations-2Yr'!AG44+'Fed Contracts Grnts-2Yr'!AG44+'Other Contracts Grnts-2Yr'!AG44+'Investment Income-2Yr'!AG44+'All Other E&amp;G-2Yr'!AG44</f>
        <v>1969579.0880000002</v>
      </c>
      <c r="AH44" s="90">
        <f>+'Tuition-2Yr'!AH44+'State Appropriations-2Yr'!AH44+'Local Appropriations-2Yr'!AH44+'Fed Contracts Grnts-2Yr'!AH44+'Other Contracts Grnts-2Yr'!AH44+'Investment Income-2Yr'!AH44+'All Other E&amp;G-2Yr'!AH44</f>
        <v>2050268.9299999997</v>
      </c>
      <c r="AI44" s="90">
        <f>+'Tuition-2Yr'!AI44+'State Appropriations-2Yr'!AI44+'Local Appropriations-2Yr'!AI44+'Fed Contracts Grnts-2Yr'!AI44+'Other Contracts Grnts-2Yr'!AI44+'Investment Income-2Yr'!AI44+'All Other E&amp;G-2Yr'!AI44</f>
        <v>2064086.8820000002</v>
      </c>
      <c r="AJ44" s="90">
        <f>+'Tuition-2Yr'!AJ44+'State Appropriations-2Yr'!AJ44+'Local Appropriations-2Yr'!AJ44+'Fed Contracts Grnts-2Yr'!AJ44+'Other Contracts Grnts-2Yr'!AJ44+'Investment Income-2Yr'!AJ44+'All Other E&amp;G-2Yr'!AJ44</f>
        <v>0</v>
      </c>
      <c r="AK44" s="90">
        <f>+'Tuition-2Yr'!AK44+'State Appropriations-2Yr'!AK44+'Local Appropriations-2Yr'!AK44+'Fed Contracts Grnts-2Yr'!AK44+'Other Contracts Grnts-2Yr'!AK44+'Investment Income-2Yr'!AK44+'All Other E&amp;G-2Yr'!AK44</f>
        <v>2227389.6239999998</v>
      </c>
    </row>
    <row r="45" spans="1:37" ht="12.75" customHeight="1">
      <c r="A45" s="1" t="s">
        <v>57</v>
      </c>
      <c r="B45" s="90">
        <f>+'Tuition-2Yr'!B45+'State Appropriations-2Yr'!B45+'Local Appropriations-2Yr'!B45+'Fed Contracts Grnts-2Yr'!B45+'Other Contracts Grnts-2Yr'!B45+'Investment Income-2Yr'!B45+'All Other E&amp;G-2Yr'!B45</f>
        <v>0</v>
      </c>
      <c r="C45" s="90">
        <f>+'Tuition-2Yr'!C45+'State Appropriations-2Yr'!C45+'Local Appropriations-2Yr'!C45+'Fed Contracts Grnts-2Yr'!C45+'Other Contracts Grnts-2Yr'!C45+'Investment Income-2Yr'!C45+'All Other E&amp;G-2Yr'!C45</f>
        <v>0</v>
      </c>
      <c r="D45" s="90">
        <f>+'Tuition-2Yr'!D45+'State Appropriations-2Yr'!D45+'Local Appropriations-2Yr'!D45+'Fed Contracts Grnts-2Yr'!D45+'Other Contracts Grnts-2Yr'!D45+'Investment Income-2Yr'!D45+'All Other E&amp;G-2Yr'!D45</f>
        <v>0</v>
      </c>
      <c r="E45" s="90">
        <f>+'Tuition-2Yr'!E45+'State Appropriations-2Yr'!E45+'Local Appropriations-2Yr'!E45+'Fed Contracts Grnts-2Yr'!E45+'Other Contracts Grnts-2Yr'!E45+'Investment Income-2Yr'!E45+'All Other E&amp;G-2Yr'!E45</f>
        <v>0</v>
      </c>
      <c r="F45" s="90">
        <f>+'Tuition-2Yr'!F45+'State Appropriations-2Yr'!F45+'Local Appropriations-2Yr'!F45+'Fed Contracts Grnts-2Yr'!F45+'Other Contracts Grnts-2Yr'!F45+'Investment Income-2Yr'!F45+'All Other E&amp;G-2Yr'!F45</f>
        <v>0</v>
      </c>
      <c r="G45" s="90">
        <f>+'Tuition-2Yr'!G45+'State Appropriations-2Yr'!G45+'Local Appropriations-2Yr'!G45+'Fed Contracts Grnts-2Yr'!G45+'Other Contracts Grnts-2Yr'!G45+'Investment Income-2Yr'!G45+'All Other E&amp;G-2Yr'!G45</f>
        <v>0</v>
      </c>
      <c r="H45" s="90">
        <f>+'Tuition-2Yr'!H45+'State Appropriations-2Yr'!H45+'Local Appropriations-2Yr'!H45+'Fed Contracts Grnts-2Yr'!H45+'Other Contracts Grnts-2Yr'!H45+'Investment Income-2Yr'!H45+'All Other E&amp;G-2Yr'!H45</f>
        <v>0</v>
      </c>
      <c r="I45" s="90">
        <f>+'Tuition-2Yr'!I45+'State Appropriations-2Yr'!I45+'Local Appropriations-2Yr'!I45+'Fed Contracts Grnts-2Yr'!I45+'Other Contracts Grnts-2Yr'!I45+'Investment Income-2Yr'!I45+'All Other E&amp;G-2Yr'!I45</f>
        <v>0</v>
      </c>
      <c r="J45" s="90">
        <f>+'Tuition-2Yr'!J45+'State Appropriations-2Yr'!J45+'Local Appropriations-2Yr'!J45+'Fed Contracts Grnts-2Yr'!J45+'Other Contracts Grnts-2Yr'!J45+'Investment Income-2Yr'!J45+'All Other E&amp;G-2Yr'!J45</f>
        <v>396356.20599999995</v>
      </c>
      <c r="K45" s="90">
        <f>+'Tuition-2Yr'!K45+'State Appropriations-2Yr'!K45+'Local Appropriations-2Yr'!K45+'Fed Contracts Grnts-2Yr'!K45+'Other Contracts Grnts-2Yr'!K45+'Investment Income-2Yr'!K45+'All Other E&amp;G-2Yr'!K45</f>
        <v>0</v>
      </c>
      <c r="L45" s="90">
        <f>+'Tuition-2Yr'!L45+'State Appropriations-2Yr'!L45+'Local Appropriations-2Yr'!L45+'Fed Contracts Grnts-2Yr'!L45+'Other Contracts Grnts-2Yr'!L45+'Investment Income-2Yr'!L45+'All Other E&amp;G-2Yr'!L45</f>
        <v>0</v>
      </c>
      <c r="M45" s="90">
        <f>+'Tuition-2Yr'!M45+'State Appropriations-2Yr'!M45+'Local Appropriations-2Yr'!M45+'Fed Contracts Grnts-2Yr'!M45+'Other Contracts Grnts-2Yr'!M45+'Investment Income-2Yr'!M45+'All Other E&amp;G-2Yr'!M45</f>
        <v>526900.69899999991</v>
      </c>
      <c r="N45" s="90">
        <f>+'Tuition-2Yr'!N45+'State Appropriations-2Yr'!N45+'Local Appropriations-2Yr'!N45+'Fed Contracts Grnts-2Yr'!N45+'Other Contracts Grnts-2Yr'!N45+'Investment Income-2Yr'!N45+'All Other E&amp;G-2Yr'!N45</f>
        <v>0</v>
      </c>
      <c r="O45" s="90">
        <f>+'Tuition-2Yr'!O45+'State Appropriations-2Yr'!O45+'Local Appropriations-2Yr'!O45+'Fed Contracts Grnts-2Yr'!O45+'Other Contracts Grnts-2Yr'!O45+'Investment Income-2Yr'!O45+'All Other E&amp;G-2Yr'!O45</f>
        <v>620266.87120000005</v>
      </c>
      <c r="P45" s="90">
        <f>+'Tuition-2Yr'!P45+'State Appropriations-2Yr'!P45+'Local Appropriations-2Yr'!P45+'Fed Contracts Grnts-2Yr'!P45+'Other Contracts Grnts-2Yr'!P45+'Investment Income-2Yr'!P45+'All Other E&amp;G-2Yr'!P45</f>
        <v>0</v>
      </c>
      <c r="Q45" s="90">
        <f>+'Tuition-2Yr'!Q45+'State Appropriations-2Yr'!Q45+'Local Appropriations-2Yr'!Q45+'Fed Contracts Grnts-2Yr'!Q45+'Other Contracts Grnts-2Yr'!Q45+'Investment Income-2Yr'!Q45+'All Other E&amp;G-2Yr'!Q45</f>
        <v>0</v>
      </c>
      <c r="R45" s="90">
        <f>+'Tuition-2Yr'!R45+'State Appropriations-2Yr'!R45+'Local Appropriations-2Yr'!R45+'Fed Contracts Grnts-2Yr'!R45+'Other Contracts Grnts-2Yr'!R45+'Investment Income-2Yr'!R45+'All Other E&amp;G-2Yr'!R45</f>
        <v>627084.90100000007</v>
      </c>
      <c r="S45" s="90">
        <f>+'Tuition-2Yr'!S45+'State Appropriations-2Yr'!S45+'Local Appropriations-2Yr'!S45+'Fed Contracts Grnts-2Yr'!S45+'Other Contracts Grnts-2Yr'!S45+'Investment Income-2Yr'!S45+'All Other E&amp;G-2Yr'!S45</f>
        <v>691273.98300000012</v>
      </c>
      <c r="T45" s="90">
        <f>+'Tuition-2Yr'!T45+'State Appropriations-2Yr'!T45+'Local Appropriations-2Yr'!T45+'Fed Contracts Grnts-2Yr'!T45+'Other Contracts Grnts-2Yr'!T45+'Investment Income-2Yr'!T45+'All Other E&amp;G-2Yr'!T45</f>
        <v>728131.4879999999</v>
      </c>
      <c r="U45" s="90">
        <f>+'Tuition-2Yr'!U45+'State Appropriations-2Yr'!U45+'Local Appropriations-2Yr'!U45+'Fed Contracts Grnts-2Yr'!U45+'Other Contracts Grnts-2Yr'!U45+'Investment Income-2Yr'!U45+'All Other E&amp;G-2Yr'!U45</f>
        <v>724435.03600000008</v>
      </c>
      <c r="V45" s="90">
        <f>+'Tuition-2Yr'!V45+'State Appropriations-2Yr'!V45+'Local Appropriations-2Yr'!V45+'Fed Contracts Grnts-2Yr'!V45+'Other Contracts Grnts-2Yr'!V45+'Investment Income-2Yr'!V45+'All Other E&amp;G-2Yr'!V45</f>
        <v>725373.55900000001</v>
      </c>
      <c r="W45" s="90">
        <f>+'Tuition-2Yr'!W45+'State Appropriations-2Yr'!W45+'Local Appropriations-2Yr'!W45+'Fed Contracts Grnts-2Yr'!W45+'Other Contracts Grnts-2Yr'!W45+'Investment Income-2Yr'!W45+'All Other E&amp;G-2Yr'!W45</f>
        <v>808413.23499999999</v>
      </c>
      <c r="X45" s="90">
        <f>+'Tuition-2Yr'!X45+'State Appropriations-2Yr'!X45+'Local Appropriations-2Yr'!X45+'Fed Contracts Grnts-2Yr'!X45+'Other Contracts Grnts-2Yr'!X45+'Investment Income-2Yr'!X45+'All Other E&amp;G-2Yr'!X45</f>
        <v>758915.92</v>
      </c>
      <c r="Y45" s="90">
        <f>+'Tuition-2Yr'!Y45+'State Appropriations-2Yr'!Y45+'Local Appropriations-2Yr'!Y45+'Fed Contracts Grnts-2Yr'!Y45+'Other Contracts Grnts-2Yr'!Y45+'Investment Income-2Yr'!Y45+'All Other E&amp;G-2Yr'!Y45</f>
        <v>812967.56699999992</v>
      </c>
      <c r="Z45" s="90">
        <f>+'Tuition-2Yr'!Z45+'State Appropriations-2Yr'!Z45+'Local Appropriations-2Yr'!Z45+'Fed Contracts Grnts-2Yr'!Z45+'Other Contracts Grnts-2Yr'!Z45+'Investment Income-2Yr'!Z45+'All Other E&amp;G-2Yr'!Z45</f>
        <v>885906.64899999998</v>
      </c>
      <c r="AA45" s="90">
        <f>+'Tuition-2Yr'!AA45+'State Appropriations-2Yr'!AA45+'Local Appropriations-2Yr'!AA45+'Fed Contracts Grnts-2Yr'!AA45+'Other Contracts Grnts-2Yr'!AA45+'Investment Income-2Yr'!AA45+'All Other E&amp;G-2Yr'!AA45</f>
        <v>1059820.7779999999</v>
      </c>
      <c r="AB45" s="90">
        <f>+'Tuition-2Yr'!AB45+'State Appropriations-2Yr'!AB45+'Local Appropriations-2Yr'!AB45+'Fed Contracts Grnts-2Yr'!AB45+'Other Contracts Grnts-2Yr'!AB45+'Investment Income-2Yr'!AB45+'All Other E&amp;G-2Yr'!AB45</f>
        <v>1163045.7590000001</v>
      </c>
      <c r="AC45" s="90">
        <f>+'Tuition-2Yr'!AC45+'State Appropriations-2Yr'!AC45+'Local Appropriations-2Yr'!AC45+'Fed Contracts Grnts-2Yr'!AC45+'Other Contracts Grnts-2Yr'!AC45+'Investment Income-2Yr'!AC45+'All Other E&amp;G-2Yr'!AC45</f>
        <v>1220871</v>
      </c>
      <c r="AD45" s="90">
        <f>+'Tuition-2Yr'!AD45+'State Appropriations-2Yr'!AD45+'Local Appropriations-2Yr'!AD45+'Fed Contracts Grnts-2Yr'!AD45+'Other Contracts Grnts-2Yr'!AD45+'Investment Income-2Yr'!AD45+'All Other E&amp;G-2Yr'!AD45</f>
        <v>1165489.237</v>
      </c>
      <c r="AE45" s="90">
        <f>+'Tuition-2Yr'!AE45+'State Appropriations-2Yr'!AE45+'Local Appropriations-2Yr'!AE45+'Fed Contracts Grnts-2Yr'!AE45+'Other Contracts Grnts-2Yr'!AE45+'Investment Income-2Yr'!AE45+'All Other E&amp;G-2Yr'!AE45</f>
        <v>1176411.2159999998</v>
      </c>
      <c r="AF45" s="90">
        <f>+'Tuition-2Yr'!AF45+'State Appropriations-2Yr'!AF45+'Local Appropriations-2Yr'!AF45+'Fed Contracts Grnts-2Yr'!AF45+'Other Contracts Grnts-2Yr'!AF45+'Investment Income-2Yr'!AF45+'All Other E&amp;G-2Yr'!AF45</f>
        <v>891970.77299999981</v>
      </c>
      <c r="AG45" s="90">
        <f>+'Tuition-2Yr'!AG45+'State Appropriations-2Yr'!AG45+'Local Appropriations-2Yr'!AG45+'Fed Contracts Grnts-2Yr'!AG45+'Other Contracts Grnts-2Yr'!AG45+'Investment Income-2Yr'!AG45+'All Other E&amp;G-2Yr'!AG45</f>
        <v>901095.13199999998</v>
      </c>
      <c r="AH45" s="90">
        <f>+'Tuition-2Yr'!AH45+'State Appropriations-2Yr'!AH45+'Local Appropriations-2Yr'!AH45+'Fed Contracts Grnts-2Yr'!AH45+'Other Contracts Grnts-2Yr'!AH45+'Investment Income-2Yr'!AH45+'All Other E&amp;G-2Yr'!AH45</f>
        <v>1163733.6580000001</v>
      </c>
      <c r="AI45" s="90">
        <f>+'Tuition-2Yr'!AI45+'State Appropriations-2Yr'!AI45+'Local Appropriations-2Yr'!AI45+'Fed Contracts Grnts-2Yr'!AI45+'Other Contracts Grnts-2Yr'!AI45+'Investment Income-2Yr'!AI45+'All Other E&amp;G-2Yr'!AI45</f>
        <v>1138940.9620000001</v>
      </c>
      <c r="AJ45" s="90">
        <f>+'Tuition-2Yr'!AJ45+'State Appropriations-2Yr'!AJ45+'Local Appropriations-2Yr'!AJ45+'Fed Contracts Grnts-2Yr'!AJ45+'Other Contracts Grnts-2Yr'!AJ45+'Investment Income-2Yr'!AJ45+'All Other E&amp;G-2Yr'!AJ45</f>
        <v>0</v>
      </c>
      <c r="AK45" s="90">
        <f>+'Tuition-2Yr'!AK45+'State Appropriations-2Yr'!AK45+'Local Appropriations-2Yr'!AK45+'Fed Contracts Grnts-2Yr'!AK45+'Other Contracts Grnts-2Yr'!AK45+'Investment Income-2Yr'!AK45+'All Other E&amp;G-2Yr'!AK45</f>
        <v>1191165.507</v>
      </c>
    </row>
    <row r="46" spans="1:37" ht="12.75" customHeight="1">
      <c r="A46" s="1" t="s">
        <v>58</v>
      </c>
      <c r="B46" s="90">
        <f>+'Tuition-2Yr'!B46+'State Appropriations-2Yr'!B46+'Local Appropriations-2Yr'!B46+'Fed Contracts Grnts-2Yr'!B46+'Other Contracts Grnts-2Yr'!B46+'Investment Income-2Yr'!B46+'All Other E&amp;G-2Yr'!B46</f>
        <v>0</v>
      </c>
      <c r="C46" s="90">
        <f>+'Tuition-2Yr'!C46+'State Appropriations-2Yr'!C46+'Local Appropriations-2Yr'!C46+'Fed Contracts Grnts-2Yr'!C46+'Other Contracts Grnts-2Yr'!C46+'Investment Income-2Yr'!C46+'All Other E&amp;G-2Yr'!C46</f>
        <v>0</v>
      </c>
      <c r="D46" s="90">
        <f>+'Tuition-2Yr'!D46+'State Appropriations-2Yr'!D46+'Local Appropriations-2Yr'!D46+'Fed Contracts Grnts-2Yr'!D46+'Other Contracts Grnts-2Yr'!D46+'Investment Income-2Yr'!D46+'All Other E&amp;G-2Yr'!D46</f>
        <v>0</v>
      </c>
      <c r="E46" s="90">
        <f>+'Tuition-2Yr'!E46+'State Appropriations-2Yr'!E46+'Local Appropriations-2Yr'!E46+'Fed Contracts Grnts-2Yr'!E46+'Other Contracts Grnts-2Yr'!E46+'Investment Income-2Yr'!E46+'All Other E&amp;G-2Yr'!E46</f>
        <v>0</v>
      </c>
      <c r="F46" s="90">
        <f>+'Tuition-2Yr'!F46+'State Appropriations-2Yr'!F46+'Local Appropriations-2Yr'!F46+'Fed Contracts Grnts-2Yr'!F46+'Other Contracts Grnts-2Yr'!F46+'Investment Income-2Yr'!F46+'All Other E&amp;G-2Yr'!F46</f>
        <v>0</v>
      </c>
      <c r="G46" s="90">
        <f>+'Tuition-2Yr'!G46+'State Appropriations-2Yr'!G46+'Local Appropriations-2Yr'!G46+'Fed Contracts Grnts-2Yr'!G46+'Other Contracts Grnts-2Yr'!G46+'Investment Income-2Yr'!G46+'All Other E&amp;G-2Yr'!G46</f>
        <v>0</v>
      </c>
      <c r="H46" s="90">
        <f>+'Tuition-2Yr'!H46+'State Appropriations-2Yr'!H46+'Local Appropriations-2Yr'!H46+'Fed Contracts Grnts-2Yr'!H46+'Other Contracts Grnts-2Yr'!H46+'Investment Income-2Yr'!H46+'All Other E&amp;G-2Yr'!H46</f>
        <v>0</v>
      </c>
      <c r="I46" s="90">
        <f>+'Tuition-2Yr'!I46+'State Appropriations-2Yr'!I46+'Local Appropriations-2Yr'!I46+'Fed Contracts Grnts-2Yr'!I46+'Other Contracts Grnts-2Yr'!I46+'Investment Income-2Yr'!I46+'All Other E&amp;G-2Yr'!I46</f>
        <v>0</v>
      </c>
      <c r="J46" s="90">
        <f>+'Tuition-2Yr'!J46+'State Appropriations-2Yr'!J46+'Local Appropriations-2Yr'!J46+'Fed Contracts Grnts-2Yr'!J46+'Other Contracts Grnts-2Yr'!J46+'Investment Income-2Yr'!J46+'All Other E&amp;G-2Yr'!J46</f>
        <v>220885.68699999998</v>
      </c>
      <c r="K46" s="90">
        <f>+'Tuition-2Yr'!K46+'State Appropriations-2Yr'!K46+'Local Appropriations-2Yr'!K46+'Fed Contracts Grnts-2Yr'!K46+'Other Contracts Grnts-2Yr'!K46+'Investment Income-2Yr'!K46+'All Other E&amp;G-2Yr'!K46</f>
        <v>0</v>
      </c>
      <c r="L46" s="90">
        <f>+'Tuition-2Yr'!L46+'State Appropriations-2Yr'!L46+'Local Appropriations-2Yr'!L46+'Fed Contracts Grnts-2Yr'!L46+'Other Contracts Grnts-2Yr'!L46+'Investment Income-2Yr'!L46+'All Other E&amp;G-2Yr'!L46</f>
        <v>0</v>
      </c>
      <c r="M46" s="90">
        <f>+'Tuition-2Yr'!M46+'State Appropriations-2Yr'!M46+'Local Appropriations-2Yr'!M46+'Fed Contracts Grnts-2Yr'!M46+'Other Contracts Grnts-2Yr'!M46+'Investment Income-2Yr'!M46+'All Other E&amp;G-2Yr'!M46</f>
        <v>107948.173</v>
      </c>
      <c r="N46" s="90">
        <f>+'Tuition-2Yr'!N46+'State Appropriations-2Yr'!N46+'Local Appropriations-2Yr'!N46+'Fed Contracts Grnts-2Yr'!N46+'Other Contracts Grnts-2Yr'!N46+'Investment Income-2Yr'!N46+'All Other E&amp;G-2Yr'!N46</f>
        <v>0</v>
      </c>
      <c r="O46" s="90">
        <f>+'Tuition-2Yr'!O46+'State Appropriations-2Yr'!O46+'Local Appropriations-2Yr'!O46+'Fed Contracts Grnts-2Yr'!O46+'Other Contracts Grnts-2Yr'!O46+'Investment Income-2Yr'!O46+'All Other E&amp;G-2Yr'!O46</f>
        <v>357601.859</v>
      </c>
      <c r="P46" s="90">
        <f>+'Tuition-2Yr'!P46+'State Appropriations-2Yr'!P46+'Local Appropriations-2Yr'!P46+'Fed Contracts Grnts-2Yr'!P46+'Other Contracts Grnts-2Yr'!P46+'Investment Income-2Yr'!P46+'All Other E&amp;G-2Yr'!P46</f>
        <v>0</v>
      </c>
      <c r="Q46" s="90">
        <f>+'Tuition-2Yr'!Q46+'State Appropriations-2Yr'!Q46+'Local Appropriations-2Yr'!Q46+'Fed Contracts Grnts-2Yr'!Q46+'Other Contracts Grnts-2Yr'!Q46+'Investment Income-2Yr'!Q46+'All Other E&amp;G-2Yr'!Q46</f>
        <v>0</v>
      </c>
      <c r="R46" s="90">
        <f>+'Tuition-2Yr'!R46+'State Appropriations-2Yr'!R46+'Local Appropriations-2Yr'!R46+'Fed Contracts Grnts-2Yr'!R46+'Other Contracts Grnts-2Yr'!R46+'Investment Income-2Yr'!R46+'All Other E&amp;G-2Yr'!R46</f>
        <v>195854.522</v>
      </c>
      <c r="S46" s="90">
        <f>+'Tuition-2Yr'!S46+'State Appropriations-2Yr'!S46+'Local Appropriations-2Yr'!S46+'Fed Contracts Grnts-2Yr'!S46+'Other Contracts Grnts-2Yr'!S46+'Investment Income-2Yr'!S46+'All Other E&amp;G-2Yr'!S46</f>
        <v>337639.06099999999</v>
      </c>
      <c r="T46" s="90">
        <f>+'Tuition-2Yr'!T46+'State Appropriations-2Yr'!T46+'Local Appropriations-2Yr'!T46+'Fed Contracts Grnts-2Yr'!T46+'Other Contracts Grnts-2Yr'!T46+'Investment Income-2Yr'!T46+'All Other E&amp;G-2Yr'!T46</f>
        <v>210694.277</v>
      </c>
      <c r="U46" s="90">
        <f>+'Tuition-2Yr'!U46+'State Appropriations-2Yr'!U46+'Local Appropriations-2Yr'!U46+'Fed Contracts Grnts-2Yr'!U46+'Other Contracts Grnts-2Yr'!U46+'Investment Income-2Yr'!U46+'All Other E&amp;G-2Yr'!U46</f>
        <v>227990.136</v>
      </c>
      <c r="V46" s="90">
        <f>+'Tuition-2Yr'!V46+'State Appropriations-2Yr'!V46+'Local Appropriations-2Yr'!V46+'Fed Contracts Grnts-2Yr'!V46+'Other Contracts Grnts-2Yr'!V46+'Investment Income-2Yr'!V46+'All Other E&amp;G-2Yr'!V46</f>
        <v>239196.42</v>
      </c>
      <c r="W46" s="90">
        <f>+'Tuition-2Yr'!W46+'State Appropriations-2Yr'!W46+'Local Appropriations-2Yr'!W46+'Fed Contracts Grnts-2Yr'!W46+'Other Contracts Grnts-2Yr'!W46+'Investment Income-2Yr'!W46+'All Other E&amp;G-2Yr'!W46</f>
        <v>279287.59899999999</v>
      </c>
      <c r="X46" s="90">
        <f>+'Tuition-2Yr'!X46+'State Appropriations-2Yr'!X46+'Local Appropriations-2Yr'!X46+'Fed Contracts Grnts-2Yr'!X46+'Other Contracts Grnts-2Yr'!X46+'Investment Income-2Yr'!X46+'All Other E&amp;G-2Yr'!X46</f>
        <v>259926.03400000001</v>
      </c>
      <c r="Y46" s="90">
        <f>+'Tuition-2Yr'!Y46+'State Appropriations-2Yr'!Y46+'Local Appropriations-2Yr'!Y46+'Fed Contracts Grnts-2Yr'!Y46+'Other Contracts Grnts-2Yr'!Y46+'Investment Income-2Yr'!Y46+'All Other E&amp;G-2Yr'!Y46</f>
        <v>279041.61399999994</v>
      </c>
      <c r="Z46" s="90">
        <f>+'Tuition-2Yr'!Z46+'State Appropriations-2Yr'!Z46+'Local Appropriations-2Yr'!Z46+'Fed Contracts Grnts-2Yr'!Z46+'Other Contracts Grnts-2Yr'!Z46+'Investment Income-2Yr'!Z46+'All Other E&amp;G-2Yr'!Z46</f>
        <v>329217.63699999999</v>
      </c>
      <c r="AA46" s="90">
        <f>+'Tuition-2Yr'!AA46+'State Appropriations-2Yr'!AA46+'Local Appropriations-2Yr'!AA46+'Fed Contracts Grnts-2Yr'!AA46+'Other Contracts Grnts-2Yr'!AA46+'Investment Income-2Yr'!AA46+'All Other E&amp;G-2Yr'!AA46</f>
        <v>368330.58999999997</v>
      </c>
      <c r="AB46" s="90">
        <f>+'Tuition-2Yr'!AB46+'State Appropriations-2Yr'!AB46+'Local Appropriations-2Yr'!AB46+'Fed Contracts Grnts-2Yr'!AB46+'Other Contracts Grnts-2Yr'!AB46+'Investment Income-2Yr'!AB46+'All Other E&amp;G-2Yr'!AB46</f>
        <v>461247.071</v>
      </c>
      <c r="AC46" s="90">
        <f>+'Tuition-2Yr'!AC46+'State Appropriations-2Yr'!AC46+'Local Appropriations-2Yr'!AC46+'Fed Contracts Grnts-2Yr'!AC46+'Other Contracts Grnts-2Yr'!AC46+'Investment Income-2Yr'!AC46+'All Other E&amp;G-2Yr'!AC46</f>
        <v>737450</v>
      </c>
      <c r="AD46" s="90">
        <f>+'Tuition-2Yr'!AD46+'State Appropriations-2Yr'!AD46+'Local Appropriations-2Yr'!AD46+'Fed Contracts Grnts-2Yr'!AD46+'Other Contracts Grnts-2Yr'!AD46+'Investment Income-2Yr'!AD46+'All Other E&amp;G-2Yr'!AD46</f>
        <v>764435.97400000005</v>
      </c>
      <c r="AE46" s="90">
        <f>+'Tuition-2Yr'!AE46+'State Appropriations-2Yr'!AE46+'Local Appropriations-2Yr'!AE46+'Fed Contracts Grnts-2Yr'!AE46+'Other Contracts Grnts-2Yr'!AE46+'Investment Income-2Yr'!AE46+'All Other E&amp;G-2Yr'!AE46</f>
        <v>723263.60200000007</v>
      </c>
      <c r="AF46" s="90">
        <f>+'Tuition-2Yr'!AF46+'State Appropriations-2Yr'!AF46+'Local Appropriations-2Yr'!AF46+'Fed Contracts Grnts-2Yr'!AF46+'Other Contracts Grnts-2Yr'!AF46+'Investment Income-2Yr'!AF46+'All Other E&amp;G-2Yr'!AF46</f>
        <v>881742.24499999988</v>
      </c>
      <c r="AG46" s="90">
        <f>+'Tuition-2Yr'!AG46+'State Appropriations-2Yr'!AG46+'Local Appropriations-2Yr'!AG46+'Fed Contracts Grnts-2Yr'!AG46+'Other Contracts Grnts-2Yr'!AG46+'Investment Income-2Yr'!AG46+'All Other E&amp;G-2Yr'!AG46</f>
        <v>851246.44800000009</v>
      </c>
      <c r="AH46" s="90">
        <f>+'Tuition-2Yr'!AH46+'State Appropriations-2Yr'!AH46+'Local Appropriations-2Yr'!AH46+'Fed Contracts Grnts-2Yr'!AH46+'Other Contracts Grnts-2Yr'!AH46+'Investment Income-2Yr'!AH46+'All Other E&amp;G-2Yr'!AH46</f>
        <v>838404.45</v>
      </c>
      <c r="AI46" s="90">
        <f>+'Tuition-2Yr'!AI46+'State Appropriations-2Yr'!AI46+'Local Appropriations-2Yr'!AI46+'Fed Contracts Grnts-2Yr'!AI46+'Other Contracts Grnts-2Yr'!AI46+'Investment Income-2Yr'!AI46+'All Other E&amp;G-2Yr'!AI46</f>
        <v>836453.33400000003</v>
      </c>
      <c r="AJ46" s="90">
        <f>+'Tuition-2Yr'!AJ46+'State Appropriations-2Yr'!AJ46+'Local Appropriations-2Yr'!AJ46+'Fed Contracts Grnts-2Yr'!AJ46+'Other Contracts Grnts-2Yr'!AJ46+'Investment Income-2Yr'!AJ46+'All Other E&amp;G-2Yr'!AJ46</f>
        <v>0</v>
      </c>
      <c r="AK46" s="90">
        <f>+'Tuition-2Yr'!AK46+'State Appropriations-2Yr'!AK46+'Local Appropriations-2Yr'!AK46+'Fed Contracts Grnts-2Yr'!AK46+'Other Contracts Grnts-2Yr'!AK46+'Investment Income-2Yr'!AK46+'All Other E&amp;G-2Yr'!AK46</f>
        <v>900683.00900000008</v>
      </c>
    </row>
    <row r="47" spans="1:37" ht="12.75" customHeight="1">
      <c r="A47" s="1" t="s">
        <v>59</v>
      </c>
      <c r="B47" s="90">
        <f>+'Tuition-2Yr'!B47+'State Appropriations-2Yr'!B47+'Local Appropriations-2Yr'!B47+'Fed Contracts Grnts-2Yr'!B47+'Other Contracts Grnts-2Yr'!B47+'Investment Income-2Yr'!B47+'All Other E&amp;G-2Yr'!B47</f>
        <v>0</v>
      </c>
      <c r="C47" s="90">
        <f>+'Tuition-2Yr'!C47+'State Appropriations-2Yr'!C47+'Local Appropriations-2Yr'!C47+'Fed Contracts Grnts-2Yr'!C47+'Other Contracts Grnts-2Yr'!C47+'Investment Income-2Yr'!C47+'All Other E&amp;G-2Yr'!C47</f>
        <v>0</v>
      </c>
      <c r="D47" s="90">
        <f>+'Tuition-2Yr'!D47+'State Appropriations-2Yr'!D47+'Local Appropriations-2Yr'!D47+'Fed Contracts Grnts-2Yr'!D47+'Other Contracts Grnts-2Yr'!D47+'Investment Income-2Yr'!D47+'All Other E&amp;G-2Yr'!D47</f>
        <v>0</v>
      </c>
      <c r="E47" s="90">
        <f>+'Tuition-2Yr'!E47+'State Appropriations-2Yr'!E47+'Local Appropriations-2Yr'!E47+'Fed Contracts Grnts-2Yr'!E47+'Other Contracts Grnts-2Yr'!E47+'Investment Income-2Yr'!E47+'All Other E&amp;G-2Yr'!E47</f>
        <v>0</v>
      </c>
      <c r="F47" s="90">
        <f>+'Tuition-2Yr'!F47+'State Appropriations-2Yr'!F47+'Local Appropriations-2Yr'!F47+'Fed Contracts Grnts-2Yr'!F47+'Other Contracts Grnts-2Yr'!F47+'Investment Income-2Yr'!F47+'All Other E&amp;G-2Yr'!F47</f>
        <v>0</v>
      </c>
      <c r="G47" s="90">
        <f>+'Tuition-2Yr'!G47+'State Appropriations-2Yr'!G47+'Local Appropriations-2Yr'!G47+'Fed Contracts Grnts-2Yr'!G47+'Other Contracts Grnts-2Yr'!G47+'Investment Income-2Yr'!G47+'All Other E&amp;G-2Yr'!G47</f>
        <v>0</v>
      </c>
      <c r="H47" s="90">
        <f>+'Tuition-2Yr'!H47+'State Appropriations-2Yr'!H47+'Local Appropriations-2Yr'!H47+'Fed Contracts Grnts-2Yr'!H47+'Other Contracts Grnts-2Yr'!H47+'Investment Income-2Yr'!H47+'All Other E&amp;G-2Yr'!H47</f>
        <v>0</v>
      </c>
      <c r="I47" s="90">
        <f>+'Tuition-2Yr'!I47+'State Appropriations-2Yr'!I47+'Local Appropriations-2Yr'!I47+'Fed Contracts Grnts-2Yr'!I47+'Other Contracts Grnts-2Yr'!I47+'Investment Income-2Yr'!I47+'All Other E&amp;G-2Yr'!I47</f>
        <v>0</v>
      </c>
      <c r="J47" s="90">
        <f>+'Tuition-2Yr'!J47+'State Appropriations-2Yr'!J47+'Local Appropriations-2Yr'!J47+'Fed Contracts Grnts-2Yr'!J47+'Other Contracts Grnts-2Yr'!J47+'Investment Income-2Yr'!J47+'All Other E&amp;G-2Yr'!J47</f>
        <v>87811.060999999987</v>
      </c>
      <c r="K47" s="90">
        <f>+'Tuition-2Yr'!K47+'State Appropriations-2Yr'!K47+'Local Appropriations-2Yr'!K47+'Fed Contracts Grnts-2Yr'!K47+'Other Contracts Grnts-2Yr'!K47+'Investment Income-2Yr'!K47+'All Other E&amp;G-2Yr'!K47</f>
        <v>0</v>
      </c>
      <c r="L47" s="90">
        <f>+'Tuition-2Yr'!L47+'State Appropriations-2Yr'!L47+'Local Appropriations-2Yr'!L47+'Fed Contracts Grnts-2Yr'!L47+'Other Contracts Grnts-2Yr'!L47+'Investment Income-2Yr'!L47+'All Other E&amp;G-2Yr'!L47</f>
        <v>0</v>
      </c>
      <c r="M47" s="90">
        <f>+'Tuition-2Yr'!M47+'State Appropriations-2Yr'!M47+'Local Appropriations-2Yr'!M47+'Fed Contracts Grnts-2Yr'!M47+'Other Contracts Grnts-2Yr'!M47+'Investment Income-2Yr'!M47+'All Other E&amp;G-2Yr'!M47</f>
        <v>91634.83</v>
      </c>
      <c r="N47" s="90">
        <f>+'Tuition-2Yr'!N47+'State Appropriations-2Yr'!N47+'Local Appropriations-2Yr'!N47+'Fed Contracts Grnts-2Yr'!N47+'Other Contracts Grnts-2Yr'!N47+'Investment Income-2Yr'!N47+'All Other E&amp;G-2Yr'!N47</f>
        <v>0</v>
      </c>
      <c r="O47" s="90">
        <f>+'Tuition-2Yr'!O47+'State Appropriations-2Yr'!O47+'Local Appropriations-2Yr'!O47+'Fed Contracts Grnts-2Yr'!O47+'Other Contracts Grnts-2Yr'!O47+'Investment Income-2Yr'!O47+'All Other E&amp;G-2Yr'!O47</f>
        <v>155058.859</v>
      </c>
      <c r="P47" s="90">
        <f>+'Tuition-2Yr'!P47+'State Appropriations-2Yr'!P47+'Local Appropriations-2Yr'!P47+'Fed Contracts Grnts-2Yr'!P47+'Other Contracts Grnts-2Yr'!P47+'Investment Income-2Yr'!P47+'All Other E&amp;G-2Yr'!P47</f>
        <v>0</v>
      </c>
      <c r="Q47" s="90">
        <f>+'Tuition-2Yr'!Q47+'State Appropriations-2Yr'!Q47+'Local Appropriations-2Yr'!Q47+'Fed Contracts Grnts-2Yr'!Q47+'Other Contracts Grnts-2Yr'!Q47+'Investment Income-2Yr'!Q47+'All Other E&amp;G-2Yr'!Q47</f>
        <v>0</v>
      </c>
      <c r="R47" s="90">
        <f>+'Tuition-2Yr'!R47+'State Appropriations-2Yr'!R47+'Local Appropriations-2Yr'!R47+'Fed Contracts Grnts-2Yr'!R47+'Other Contracts Grnts-2Yr'!R47+'Investment Income-2Yr'!R47+'All Other E&amp;G-2Yr'!R47</f>
        <v>184158.95199999999</v>
      </c>
      <c r="S47" s="90">
        <f>+'Tuition-2Yr'!S47+'State Appropriations-2Yr'!S47+'Local Appropriations-2Yr'!S47+'Fed Contracts Grnts-2Yr'!S47+'Other Contracts Grnts-2Yr'!S47+'Investment Income-2Yr'!S47+'All Other E&amp;G-2Yr'!S47</f>
        <v>189843.42900000003</v>
      </c>
      <c r="T47" s="90">
        <f>+'Tuition-2Yr'!T47+'State Appropriations-2Yr'!T47+'Local Appropriations-2Yr'!T47+'Fed Contracts Grnts-2Yr'!T47+'Other Contracts Grnts-2Yr'!T47+'Investment Income-2Yr'!T47+'All Other E&amp;G-2Yr'!T47</f>
        <v>201027.77600000001</v>
      </c>
      <c r="U47" s="90">
        <f>+'Tuition-2Yr'!U47+'State Appropriations-2Yr'!U47+'Local Appropriations-2Yr'!U47+'Fed Contracts Grnts-2Yr'!U47+'Other Contracts Grnts-2Yr'!U47+'Investment Income-2Yr'!U47+'All Other E&amp;G-2Yr'!U47</f>
        <v>202646.56299999997</v>
      </c>
      <c r="V47" s="90">
        <f>+'Tuition-2Yr'!V47+'State Appropriations-2Yr'!V47+'Local Appropriations-2Yr'!V47+'Fed Contracts Grnts-2Yr'!V47+'Other Contracts Grnts-2Yr'!V47+'Investment Income-2Yr'!V47+'All Other E&amp;G-2Yr'!V47</f>
        <v>218105.40700000001</v>
      </c>
      <c r="W47" s="90">
        <f>+'Tuition-2Yr'!W47+'State Appropriations-2Yr'!W47+'Local Appropriations-2Yr'!W47+'Fed Contracts Grnts-2Yr'!W47+'Other Contracts Grnts-2Yr'!W47+'Investment Income-2Yr'!W47+'All Other E&amp;G-2Yr'!W47</f>
        <v>236315.84399999998</v>
      </c>
      <c r="X47" s="90">
        <f>+'Tuition-2Yr'!X47+'State Appropriations-2Yr'!X47+'Local Appropriations-2Yr'!X47+'Fed Contracts Grnts-2Yr'!X47+'Other Contracts Grnts-2Yr'!X47+'Investment Income-2Yr'!X47+'All Other E&amp;G-2Yr'!X47</f>
        <v>236141.67199999999</v>
      </c>
      <c r="Y47" s="90">
        <f>+'Tuition-2Yr'!Y47+'State Appropriations-2Yr'!Y47+'Local Appropriations-2Yr'!Y47+'Fed Contracts Grnts-2Yr'!Y47+'Other Contracts Grnts-2Yr'!Y47+'Investment Income-2Yr'!Y47+'All Other E&amp;G-2Yr'!Y47</f>
        <v>249807.96999999997</v>
      </c>
      <c r="Z47" s="90">
        <f>+'Tuition-2Yr'!Z47+'State Appropriations-2Yr'!Z47+'Local Appropriations-2Yr'!Z47+'Fed Contracts Grnts-2Yr'!Z47+'Other Contracts Grnts-2Yr'!Z47+'Investment Income-2Yr'!Z47+'All Other E&amp;G-2Yr'!Z47</f>
        <v>280351.53399999999</v>
      </c>
      <c r="AA47" s="90">
        <f>+'Tuition-2Yr'!AA47+'State Appropriations-2Yr'!AA47+'Local Appropriations-2Yr'!AA47+'Fed Contracts Grnts-2Yr'!AA47+'Other Contracts Grnts-2Yr'!AA47+'Investment Income-2Yr'!AA47+'All Other E&amp;G-2Yr'!AA47</f>
        <v>322979.859</v>
      </c>
      <c r="AB47" s="90">
        <f>+'Tuition-2Yr'!AB47+'State Appropriations-2Yr'!AB47+'Local Appropriations-2Yr'!AB47+'Fed Contracts Grnts-2Yr'!AB47+'Other Contracts Grnts-2Yr'!AB47+'Investment Income-2Yr'!AB47+'All Other E&amp;G-2Yr'!AB47</f>
        <v>380343.81799999997</v>
      </c>
      <c r="AC47" s="90">
        <f>+'Tuition-2Yr'!AC47+'State Appropriations-2Yr'!AC47+'Local Appropriations-2Yr'!AC47+'Fed Contracts Grnts-2Yr'!AC47+'Other Contracts Grnts-2Yr'!AC47+'Investment Income-2Yr'!AC47+'All Other E&amp;G-2Yr'!AC47</f>
        <v>410738</v>
      </c>
      <c r="AD47" s="90">
        <f>+'Tuition-2Yr'!AD47+'State Appropriations-2Yr'!AD47+'Local Appropriations-2Yr'!AD47+'Fed Contracts Grnts-2Yr'!AD47+'Other Contracts Grnts-2Yr'!AD47+'Investment Income-2Yr'!AD47+'All Other E&amp;G-2Yr'!AD47</f>
        <v>419754.46</v>
      </c>
      <c r="AE47" s="90">
        <f>+'Tuition-2Yr'!AE47+'State Appropriations-2Yr'!AE47+'Local Appropriations-2Yr'!AE47+'Fed Contracts Grnts-2Yr'!AE47+'Other Contracts Grnts-2Yr'!AE47+'Investment Income-2Yr'!AE47+'All Other E&amp;G-2Yr'!AE47</f>
        <v>408806.35399999999</v>
      </c>
      <c r="AF47" s="90">
        <f>+'Tuition-2Yr'!AF47+'State Appropriations-2Yr'!AF47+'Local Appropriations-2Yr'!AF47+'Fed Contracts Grnts-2Yr'!AF47+'Other Contracts Grnts-2Yr'!AF47+'Investment Income-2Yr'!AF47+'All Other E&amp;G-2Yr'!AF47</f>
        <v>340669.12800000003</v>
      </c>
      <c r="AG47" s="90">
        <f>+'Tuition-2Yr'!AG47+'State Appropriations-2Yr'!AG47+'Local Appropriations-2Yr'!AG47+'Fed Contracts Grnts-2Yr'!AG47+'Other Contracts Grnts-2Yr'!AG47+'Investment Income-2Yr'!AG47+'All Other E&amp;G-2Yr'!AG47</f>
        <v>354963.24</v>
      </c>
      <c r="AH47" s="90">
        <f>+'Tuition-2Yr'!AH47+'State Appropriations-2Yr'!AH47+'Local Appropriations-2Yr'!AH47+'Fed Contracts Grnts-2Yr'!AH47+'Other Contracts Grnts-2Yr'!AH47+'Investment Income-2Yr'!AH47+'All Other E&amp;G-2Yr'!AH47</f>
        <v>427572.94000000006</v>
      </c>
      <c r="AI47" s="90">
        <f>+'Tuition-2Yr'!AI47+'State Appropriations-2Yr'!AI47+'Local Appropriations-2Yr'!AI47+'Fed Contracts Grnts-2Yr'!AI47+'Other Contracts Grnts-2Yr'!AI47+'Investment Income-2Yr'!AI47+'All Other E&amp;G-2Yr'!AI47</f>
        <v>431866.44299999997</v>
      </c>
      <c r="AJ47" s="90">
        <f>+'Tuition-2Yr'!AJ47+'State Appropriations-2Yr'!AJ47+'Local Appropriations-2Yr'!AJ47+'Fed Contracts Grnts-2Yr'!AJ47+'Other Contracts Grnts-2Yr'!AJ47+'Investment Income-2Yr'!AJ47+'All Other E&amp;G-2Yr'!AJ47</f>
        <v>0</v>
      </c>
      <c r="AK47" s="90">
        <f>+'Tuition-2Yr'!AK47+'State Appropriations-2Yr'!AK47+'Local Appropriations-2Yr'!AK47+'Fed Contracts Grnts-2Yr'!AK47+'Other Contracts Grnts-2Yr'!AK47+'Investment Income-2Yr'!AK47+'All Other E&amp;G-2Yr'!AK47</f>
        <v>481103.38299999997</v>
      </c>
    </row>
    <row r="48" spans="1:37" ht="12.75" customHeight="1">
      <c r="A48" s="1" t="s">
        <v>60</v>
      </c>
      <c r="B48" s="90">
        <f>+'Tuition-2Yr'!B48+'State Appropriations-2Yr'!B48+'Local Appropriations-2Yr'!B48+'Fed Contracts Grnts-2Yr'!B48+'Other Contracts Grnts-2Yr'!B48+'Investment Income-2Yr'!B48+'All Other E&amp;G-2Yr'!B48</f>
        <v>0</v>
      </c>
      <c r="C48" s="90">
        <f>+'Tuition-2Yr'!C48+'State Appropriations-2Yr'!C48+'Local Appropriations-2Yr'!C48+'Fed Contracts Grnts-2Yr'!C48+'Other Contracts Grnts-2Yr'!C48+'Investment Income-2Yr'!C48+'All Other E&amp;G-2Yr'!C48</f>
        <v>0</v>
      </c>
      <c r="D48" s="90">
        <f>+'Tuition-2Yr'!D48+'State Appropriations-2Yr'!D48+'Local Appropriations-2Yr'!D48+'Fed Contracts Grnts-2Yr'!D48+'Other Contracts Grnts-2Yr'!D48+'Investment Income-2Yr'!D48+'All Other E&amp;G-2Yr'!D48</f>
        <v>0</v>
      </c>
      <c r="E48" s="90">
        <f>+'Tuition-2Yr'!E48+'State Appropriations-2Yr'!E48+'Local Appropriations-2Yr'!E48+'Fed Contracts Grnts-2Yr'!E48+'Other Contracts Grnts-2Yr'!E48+'Investment Income-2Yr'!E48+'All Other E&amp;G-2Yr'!E48</f>
        <v>0</v>
      </c>
      <c r="F48" s="90">
        <f>+'Tuition-2Yr'!F48+'State Appropriations-2Yr'!F48+'Local Appropriations-2Yr'!F48+'Fed Contracts Grnts-2Yr'!F48+'Other Contracts Grnts-2Yr'!F48+'Investment Income-2Yr'!F48+'All Other E&amp;G-2Yr'!F48</f>
        <v>0</v>
      </c>
      <c r="G48" s="90">
        <f>+'Tuition-2Yr'!G48+'State Appropriations-2Yr'!G48+'Local Appropriations-2Yr'!G48+'Fed Contracts Grnts-2Yr'!G48+'Other Contracts Grnts-2Yr'!G48+'Investment Income-2Yr'!G48+'All Other E&amp;G-2Yr'!G48</f>
        <v>0</v>
      </c>
      <c r="H48" s="90">
        <f>+'Tuition-2Yr'!H48+'State Appropriations-2Yr'!H48+'Local Appropriations-2Yr'!H48+'Fed Contracts Grnts-2Yr'!H48+'Other Contracts Grnts-2Yr'!H48+'Investment Income-2Yr'!H48+'All Other E&amp;G-2Yr'!H48</f>
        <v>0</v>
      </c>
      <c r="I48" s="90">
        <f>+'Tuition-2Yr'!I48+'State Appropriations-2Yr'!I48+'Local Appropriations-2Yr'!I48+'Fed Contracts Grnts-2Yr'!I48+'Other Contracts Grnts-2Yr'!I48+'Investment Income-2Yr'!I48+'All Other E&amp;G-2Yr'!I48</f>
        <v>0</v>
      </c>
      <c r="J48" s="90">
        <f>+'Tuition-2Yr'!J48+'State Appropriations-2Yr'!J48+'Local Appropriations-2Yr'!J48+'Fed Contracts Grnts-2Yr'!J48+'Other Contracts Grnts-2Yr'!J48+'Investment Income-2Yr'!J48+'All Other E&amp;G-2Yr'!J48</f>
        <v>49327.462</v>
      </c>
      <c r="K48" s="90">
        <f>+'Tuition-2Yr'!K48+'State Appropriations-2Yr'!K48+'Local Appropriations-2Yr'!K48+'Fed Contracts Grnts-2Yr'!K48+'Other Contracts Grnts-2Yr'!K48+'Investment Income-2Yr'!K48+'All Other E&amp;G-2Yr'!K48</f>
        <v>0</v>
      </c>
      <c r="L48" s="90">
        <f>+'Tuition-2Yr'!L48+'State Appropriations-2Yr'!L48+'Local Appropriations-2Yr'!L48+'Fed Contracts Grnts-2Yr'!L48+'Other Contracts Grnts-2Yr'!L48+'Investment Income-2Yr'!L48+'All Other E&amp;G-2Yr'!L48</f>
        <v>0</v>
      </c>
      <c r="M48" s="90">
        <f>+'Tuition-2Yr'!M48+'State Appropriations-2Yr'!M48+'Local Appropriations-2Yr'!M48+'Fed Contracts Grnts-2Yr'!M48+'Other Contracts Grnts-2Yr'!M48+'Investment Income-2Yr'!M48+'All Other E&amp;G-2Yr'!M48</f>
        <v>51217.106999999989</v>
      </c>
      <c r="N48" s="90">
        <f>+'Tuition-2Yr'!N48+'State Appropriations-2Yr'!N48+'Local Appropriations-2Yr'!N48+'Fed Contracts Grnts-2Yr'!N48+'Other Contracts Grnts-2Yr'!N48+'Investment Income-2Yr'!N48+'All Other E&amp;G-2Yr'!N48</f>
        <v>0</v>
      </c>
      <c r="O48" s="90">
        <f>+'Tuition-2Yr'!O48+'State Appropriations-2Yr'!O48+'Local Appropriations-2Yr'!O48+'Fed Contracts Grnts-2Yr'!O48+'Other Contracts Grnts-2Yr'!O48+'Investment Income-2Yr'!O48+'All Other E&amp;G-2Yr'!O48</f>
        <v>58961.737649999995</v>
      </c>
      <c r="P48" s="90">
        <f>+'Tuition-2Yr'!P48+'State Appropriations-2Yr'!P48+'Local Appropriations-2Yr'!P48+'Fed Contracts Grnts-2Yr'!P48+'Other Contracts Grnts-2Yr'!P48+'Investment Income-2Yr'!P48+'All Other E&amp;G-2Yr'!P48</f>
        <v>0</v>
      </c>
      <c r="Q48" s="90">
        <f>+'Tuition-2Yr'!Q48+'State Appropriations-2Yr'!Q48+'Local Appropriations-2Yr'!Q48+'Fed Contracts Grnts-2Yr'!Q48+'Other Contracts Grnts-2Yr'!Q48+'Investment Income-2Yr'!Q48+'All Other E&amp;G-2Yr'!Q48</f>
        <v>0</v>
      </c>
      <c r="R48" s="90">
        <f>+'Tuition-2Yr'!R48+'State Appropriations-2Yr'!R48+'Local Appropriations-2Yr'!R48+'Fed Contracts Grnts-2Yr'!R48+'Other Contracts Grnts-2Yr'!R48+'Investment Income-2Yr'!R48+'All Other E&amp;G-2Yr'!R48</f>
        <v>79759.768000000011</v>
      </c>
      <c r="S48" s="90">
        <f>+'Tuition-2Yr'!S48+'State Appropriations-2Yr'!S48+'Local Appropriations-2Yr'!S48+'Fed Contracts Grnts-2Yr'!S48+'Other Contracts Grnts-2Yr'!S48+'Investment Income-2Yr'!S48+'All Other E&amp;G-2Yr'!S48</f>
        <v>81930.537000000011</v>
      </c>
      <c r="T48" s="90">
        <f>+'Tuition-2Yr'!T48+'State Appropriations-2Yr'!T48+'Local Appropriations-2Yr'!T48+'Fed Contracts Grnts-2Yr'!T48+'Other Contracts Grnts-2Yr'!T48+'Investment Income-2Yr'!T48+'All Other E&amp;G-2Yr'!T48</f>
        <v>75330.561999999991</v>
      </c>
      <c r="U48" s="90">
        <f>+'Tuition-2Yr'!U48+'State Appropriations-2Yr'!U48+'Local Appropriations-2Yr'!U48+'Fed Contracts Grnts-2Yr'!U48+'Other Contracts Grnts-2Yr'!U48+'Investment Income-2Yr'!U48+'All Other E&amp;G-2Yr'!U48</f>
        <v>72445.991000000009</v>
      </c>
      <c r="V48" s="90">
        <f>+'Tuition-2Yr'!V48+'State Appropriations-2Yr'!V48+'Local Appropriations-2Yr'!V48+'Fed Contracts Grnts-2Yr'!V48+'Other Contracts Grnts-2Yr'!V48+'Investment Income-2Yr'!V48+'All Other E&amp;G-2Yr'!V48</f>
        <v>67191.275999999998</v>
      </c>
      <c r="W48" s="90">
        <f>+'Tuition-2Yr'!W48+'State Appropriations-2Yr'!W48+'Local Appropriations-2Yr'!W48+'Fed Contracts Grnts-2Yr'!W48+'Other Contracts Grnts-2Yr'!W48+'Investment Income-2Yr'!W48+'All Other E&amp;G-2Yr'!W48</f>
        <v>86527.822</v>
      </c>
      <c r="X48" s="90">
        <f>+'Tuition-2Yr'!X48+'State Appropriations-2Yr'!X48+'Local Appropriations-2Yr'!X48+'Fed Contracts Grnts-2Yr'!X48+'Other Contracts Grnts-2Yr'!X48+'Investment Income-2Yr'!X48+'All Other E&amp;G-2Yr'!X48</f>
        <v>82595.781000000003</v>
      </c>
      <c r="Y48" s="90">
        <f>+'Tuition-2Yr'!Y48+'State Appropriations-2Yr'!Y48+'Local Appropriations-2Yr'!Y48+'Fed Contracts Grnts-2Yr'!Y48+'Other Contracts Grnts-2Yr'!Y48+'Investment Income-2Yr'!Y48+'All Other E&amp;G-2Yr'!Y48</f>
        <v>85904.838000000003</v>
      </c>
      <c r="Z48" s="90">
        <f>+'Tuition-2Yr'!Z48+'State Appropriations-2Yr'!Z48+'Local Appropriations-2Yr'!Z48+'Fed Contracts Grnts-2Yr'!Z48+'Other Contracts Grnts-2Yr'!Z48+'Investment Income-2Yr'!Z48+'All Other E&amp;G-2Yr'!Z48</f>
        <v>66076.07699999999</v>
      </c>
      <c r="AA48" s="90">
        <f>+'Tuition-2Yr'!AA48+'State Appropriations-2Yr'!AA48+'Local Appropriations-2Yr'!AA48+'Fed Contracts Grnts-2Yr'!AA48+'Other Contracts Grnts-2Yr'!AA48+'Investment Income-2Yr'!AA48+'All Other E&amp;G-2Yr'!AA48</f>
        <v>118586.908</v>
      </c>
      <c r="AB48" s="90">
        <f>+'Tuition-2Yr'!AB48+'State Appropriations-2Yr'!AB48+'Local Appropriations-2Yr'!AB48+'Fed Contracts Grnts-2Yr'!AB48+'Other Contracts Grnts-2Yr'!AB48+'Investment Income-2Yr'!AB48+'All Other E&amp;G-2Yr'!AB48</f>
        <v>144031.13699999999</v>
      </c>
      <c r="AC48" s="90">
        <f>+'Tuition-2Yr'!AC48+'State Appropriations-2Yr'!AC48+'Local Appropriations-2Yr'!AC48+'Fed Contracts Grnts-2Yr'!AC48+'Other Contracts Grnts-2Yr'!AC48+'Investment Income-2Yr'!AC48+'All Other E&amp;G-2Yr'!AC48</f>
        <v>148375</v>
      </c>
      <c r="AD48" s="90">
        <f>+'Tuition-2Yr'!AD48+'State Appropriations-2Yr'!AD48+'Local Appropriations-2Yr'!AD48+'Fed Contracts Grnts-2Yr'!AD48+'Other Contracts Grnts-2Yr'!AD48+'Investment Income-2Yr'!AD48+'All Other E&amp;G-2Yr'!AD48</f>
        <v>154522.78699999998</v>
      </c>
      <c r="AE48" s="90">
        <f>+'Tuition-2Yr'!AE48+'State Appropriations-2Yr'!AE48+'Local Appropriations-2Yr'!AE48+'Fed Contracts Grnts-2Yr'!AE48+'Other Contracts Grnts-2Yr'!AE48+'Investment Income-2Yr'!AE48+'All Other E&amp;G-2Yr'!AE48</f>
        <v>147821.81100000002</v>
      </c>
      <c r="AF48" s="90">
        <f>+'Tuition-2Yr'!AF48+'State Appropriations-2Yr'!AF48+'Local Appropriations-2Yr'!AF48+'Fed Contracts Grnts-2Yr'!AF48+'Other Contracts Grnts-2Yr'!AF48+'Investment Income-2Yr'!AF48+'All Other E&amp;G-2Yr'!AF48</f>
        <v>164417.95699999999</v>
      </c>
      <c r="AG48" s="90">
        <f>+'Tuition-2Yr'!AG48+'State Appropriations-2Yr'!AG48+'Local Appropriations-2Yr'!AG48+'Fed Contracts Grnts-2Yr'!AG48+'Other Contracts Grnts-2Yr'!AG48+'Investment Income-2Yr'!AG48+'All Other E&amp;G-2Yr'!AG48</f>
        <v>174864.99000000002</v>
      </c>
      <c r="AH48" s="90">
        <f>+'Tuition-2Yr'!AH48+'State Appropriations-2Yr'!AH48+'Local Appropriations-2Yr'!AH48+'Fed Contracts Grnts-2Yr'!AH48+'Other Contracts Grnts-2Yr'!AH48+'Investment Income-2Yr'!AH48+'All Other E&amp;G-2Yr'!AH48</f>
        <v>173292.43599999996</v>
      </c>
      <c r="AI48" s="90">
        <f>+'Tuition-2Yr'!AI48+'State Appropriations-2Yr'!AI48+'Local Appropriations-2Yr'!AI48+'Fed Contracts Grnts-2Yr'!AI48+'Other Contracts Grnts-2Yr'!AI48+'Investment Income-2Yr'!AI48+'All Other E&amp;G-2Yr'!AI48</f>
        <v>167709.65899999999</v>
      </c>
      <c r="AJ48" s="90">
        <f>+'Tuition-2Yr'!AJ48+'State Appropriations-2Yr'!AJ48+'Local Appropriations-2Yr'!AJ48+'Fed Contracts Grnts-2Yr'!AJ48+'Other Contracts Grnts-2Yr'!AJ48+'Investment Income-2Yr'!AJ48+'All Other E&amp;G-2Yr'!AJ48</f>
        <v>0</v>
      </c>
      <c r="AK48" s="90">
        <f>+'Tuition-2Yr'!AK48+'State Appropriations-2Yr'!AK48+'Local Appropriations-2Yr'!AK48+'Fed Contracts Grnts-2Yr'!AK48+'Other Contracts Grnts-2Yr'!AK48+'Investment Income-2Yr'!AK48+'All Other E&amp;G-2Yr'!AK48</f>
        <v>161378.35800000001</v>
      </c>
    </row>
    <row r="49" spans="1:37" ht="12.75" customHeight="1">
      <c r="A49" s="1" t="s">
        <v>61</v>
      </c>
      <c r="B49" s="90">
        <f>+'Tuition-2Yr'!B49+'State Appropriations-2Yr'!B49+'Local Appropriations-2Yr'!B49+'Fed Contracts Grnts-2Yr'!B49+'Other Contracts Grnts-2Yr'!B49+'Investment Income-2Yr'!B49+'All Other E&amp;G-2Yr'!B49</f>
        <v>0</v>
      </c>
      <c r="C49" s="90">
        <f>+'Tuition-2Yr'!C49+'State Appropriations-2Yr'!C49+'Local Appropriations-2Yr'!C49+'Fed Contracts Grnts-2Yr'!C49+'Other Contracts Grnts-2Yr'!C49+'Investment Income-2Yr'!C49+'All Other E&amp;G-2Yr'!C49</f>
        <v>0</v>
      </c>
      <c r="D49" s="90">
        <f>+'Tuition-2Yr'!D49+'State Appropriations-2Yr'!D49+'Local Appropriations-2Yr'!D49+'Fed Contracts Grnts-2Yr'!D49+'Other Contracts Grnts-2Yr'!D49+'Investment Income-2Yr'!D49+'All Other E&amp;G-2Yr'!D49</f>
        <v>0</v>
      </c>
      <c r="E49" s="90">
        <f>+'Tuition-2Yr'!E49+'State Appropriations-2Yr'!E49+'Local Appropriations-2Yr'!E49+'Fed Contracts Grnts-2Yr'!E49+'Other Contracts Grnts-2Yr'!E49+'Investment Income-2Yr'!E49+'All Other E&amp;G-2Yr'!E49</f>
        <v>0</v>
      </c>
      <c r="F49" s="90">
        <f>+'Tuition-2Yr'!F49+'State Appropriations-2Yr'!F49+'Local Appropriations-2Yr'!F49+'Fed Contracts Grnts-2Yr'!F49+'Other Contracts Grnts-2Yr'!F49+'Investment Income-2Yr'!F49+'All Other E&amp;G-2Yr'!F49</f>
        <v>0</v>
      </c>
      <c r="G49" s="90">
        <f>+'Tuition-2Yr'!G49+'State Appropriations-2Yr'!G49+'Local Appropriations-2Yr'!G49+'Fed Contracts Grnts-2Yr'!G49+'Other Contracts Grnts-2Yr'!G49+'Investment Income-2Yr'!G49+'All Other E&amp;G-2Yr'!G49</f>
        <v>0</v>
      </c>
      <c r="H49" s="90">
        <f>+'Tuition-2Yr'!H49+'State Appropriations-2Yr'!H49+'Local Appropriations-2Yr'!H49+'Fed Contracts Grnts-2Yr'!H49+'Other Contracts Grnts-2Yr'!H49+'Investment Income-2Yr'!H49+'All Other E&amp;G-2Yr'!H49</f>
        <v>0</v>
      </c>
      <c r="I49" s="90">
        <f>+'Tuition-2Yr'!I49+'State Appropriations-2Yr'!I49+'Local Appropriations-2Yr'!I49+'Fed Contracts Grnts-2Yr'!I49+'Other Contracts Grnts-2Yr'!I49+'Investment Income-2Yr'!I49+'All Other E&amp;G-2Yr'!I49</f>
        <v>0</v>
      </c>
      <c r="J49" s="90">
        <f>+'Tuition-2Yr'!J49+'State Appropriations-2Yr'!J49+'Local Appropriations-2Yr'!J49+'Fed Contracts Grnts-2Yr'!J49+'Other Contracts Grnts-2Yr'!J49+'Investment Income-2Yr'!J49+'All Other E&amp;G-2Yr'!J49</f>
        <v>569298.18599999999</v>
      </c>
      <c r="K49" s="90">
        <f>+'Tuition-2Yr'!K49+'State Appropriations-2Yr'!K49+'Local Appropriations-2Yr'!K49+'Fed Contracts Grnts-2Yr'!K49+'Other Contracts Grnts-2Yr'!K49+'Investment Income-2Yr'!K49+'All Other E&amp;G-2Yr'!K49</f>
        <v>0</v>
      </c>
      <c r="L49" s="90">
        <f>+'Tuition-2Yr'!L49+'State Appropriations-2Yr'!L49+'Local Appropriations-2Yr'!L49+'Fed Contracts Grnts-2Yr'!L49+'Other Contracts Grnts-2Yr'!L49+'Investment Income-2Yr'!L49+'All Other E&amp;G-2Yr'!L49</f>
        <v>0</v>
      </c>
      <c r="M49" s="90">
        <f>+'Tuition-2Yr'!M49+'State Appropriations-2Yr'!M49+'Local Appropriations-2Yr'!M49+'Fed Contracts Grnts-2Yr'!M49+'Other Contracts Grnts-2Yr'!M49+'Investment Income-2Yr'!M49+'All Other E&amp;G-2Yr'!M49</f>
        <v>669873.37900000007</v>
      </c>
      <c r="N49" s="90">
        <f>+'Tuition-2Yr'!N49+'State Appropriations-2Yr'!N49+'Local Appropriations-2Yr'!N49+'Fed Contracts Grnts-2Yr'!N49+'Other Contracts Grnts-2Yr'!N49+'Investment Income-2Yr'!N49+'All Other E&amp;G-2Yr'!N49</f>
        <v>0</v>
      </c>
      <c r="O49" s="90">
        <f>+'Tuition-2Yr'!O49+'State Appropriations-2Yr'!O49+'Local Appropriations-2Yr'!O49+'Fed Contracts Grnts-2Yr'!O49+'Other Contracts Grnts-2Yr'!O49+'Investment Income-2Yr'!O49+'All Other E&amp;G-2Yr'!O49</f>
        <v>724660.79</v>
      </c>
      <c r="P49" s="90">
        <f>+'Tuition-2Yr'!P49+'State Appropriations-2Yr'!P49+'Local Appropriations-2Yr'!P49+'Fed Contracts Grnts-2Yr'!P49+'Other Contracts Grnts-2Yr'!P49+'Investment Income-2Yr'!P49+'All Other E&amp;G-2Yr'!P49</f>
        <v>0</v>
      </c>
      <c r="Q49" s="90">
        <f>+'Tuition-2Yr'!Q49+'State Appropriations-2Yr'!Q49+'Local Appropriations-2Yr'!Q49+'Fed Contracts Grnts-2Yr'!Q49+'Other Contracts Grnts-2Yr'!Q49+'Investment Income-2Yr'!Q49+'All Other E&amp;G-2Yr'!Q49</f>
        <v>0</v>
      </c>
      <c r="R49" s="90">
        <f>+'Tuition-2Yr'!R49+'State Appropriations-2Yr'!R49+'Local Appropriations-2Yr'!R49+'Fed Contracts Grnts-2Yr'!R49+'Other Contracts Grnts-2Yr'!R49+'Investment Income-2Yr'!R49+'All Other E&amp;G-2Yr'!R49</f>
        <v>917022.62599999981</v>
      </c>
      <c r="S49" s="90">
        <f>+'Tuition-2Yr'!S49+'State Appropriations-2Yr'!S49+'Local Appropriations-2Yr'!S49+'Fed Contracts Grnts-2Yr'!S49+'Other Contracts Grnts-2Yr'!S49+'Investment Income-2Yr'!S49+'All Other E&amp;G-2Yr'!S49</f>
        <v>989939.13099999994</v>
      </c>
      <c r="T49" s="90">
        <f>+'Tuition-2Yr'!T49+'State Appropriations-2Yr'!T49+'Local Appropriations-2Yr'!T49+'Fed Contracts Grnts-2Yr'!T49+'Other Contracts Grnts-2Yr'!T49+'Investment Income-2Yr'!T49+'All Other E&amp;G-2Yr'!T49</f>
        <v>946418.66199999989</v>
      </c>
      <c r="U49" s="90">
        <f>+'Tuition-2Yr'!U49+'State Appropriations-2Yr'!U49+'Local Appropriations-2Yr'!U49+'Fed Contracts Grnts-2Yr'!U49+'Other Contracts Grnts-2Yr'!U49+'Investment Income-2Yr'!U49+'All Other E&amp;G-2Yr'!U49</f>
        <v>990114.08200000017</v>
      </c>
      <c r="V49" s="90">
        <f>+'Tuition-2Yr'!V49+'State Appropriations-2Yr'!V49+'Local Appropriations-2Yr'!V49+'Fed Contracts Grnts-2Yr'!V49+'Other Contracts Grnts-2Yr'!V49+'Investment Income-2Yr'!V49+'All Other E&amp;G-2Yr'!V49</f>
        <v>1022225.706</v>
      </c>
      <c r="W49" s="90">
        <f>+'Tuition-2Yr'!W49+'State Appropriations-2Yr'!W49+'Local Appropriations-2Yr'!W49+'Fed Contracts Grnts-2Yr'!W49+'Other Contracts Grnts-2Yr'!W49+'Investment Income-2Yr'!W49+'All Other E&amp;G-2Yr'!W49</f>
        <v>1199351.7549999999</v>
      </c>
      <c r="X49" s="90">
        <f>+'Tuition-2Yr'!X49+'State Appropriations-2Yr'!X49+'Local Appropriations-2Yr'!X49+'Fed Contracts Grnts-2Yr'!X49+'Other Contracts Grnts-2Yr'!X49+'Investment Income-2Yr'!X49+'All Other E&amp;G-2Yr'!X49</f>
        <v>1159749.6840000001</v>
      </c>
      <c r="Y49" s="90">
        <f>+'Tuition-2Yr'!Y49+'State Appropriations-2Yr'!Y49+'Local Appropriations-2Yr'!Y49+'Fed Contracts Grnts-2Yr'!Y49+'Other Contracts Grnts-2Yr'!Y49+'Investment Income-2Yr'!Y49+'All Other E&amp;G-2Yr'!Y49</f>
        <v>1200543.5800000003</v>
      </c>
      <c r="Z49" s="90">
        <f>+'Tuition-2Yr'!Z49+'State Appropriations-2Yr'!Z49+'Local Appropriations-2Yr'!Z49+'Fed Contracts Grnts-2Yr'!Z49+'Other Contracts Grnts-2Yr'!Z49+'Investment Income-2Yr'!Z49+'All Other E&amp;G-2Yr'!Z49</f>
        <v>1267457.0829999999</v>
      </c>
      <c r="AA49" s="90">
        <f>+'Tuition-2Yr'!AA49+'State Appropriations-2Yr'!AA49+'Local Appropriations-2Yr'!AA49+'Fed Contracts Grnts-2Yr'!AA49+'Other Contracts Grnts-2Yr'!AA49+'Investment Income-2Yr'!AA49+'All Other E&amp;G-2Yr'!AA49</f>
        <v>1777704.1700000002</v>
      </c>
      <c r="AB49" s="90">
        <f>+'Tuition-2Yr'!AB49+'State Appropriations-2Yr'!AB49+'Local Appropriations-2Yr'!AB49+'Fed Contracts Grnts-2Yr'!AB49+'Other Contracts Grnts-2Yr'!AB49+'Investment Income-2Yr'!AB49+'All Other E&amp;G-2Yr'!AB49</f>
        <v>1937166.47</v>
      </c>
      <c r="AC49" s="90">
        <f>+'Tuition-2Yr'!AC49+'State Appropriations-2Yr'!AC49+'Local Appropriations-2Yr'!AC49+'Fed Contracts Grnts-2Yr'!AC49+'Other Contracts Grnts-2Yr'!AC49+'Investment Income-2Yr'!AC49+'All Other E&amp;G-2Yr'!AC49</f>
        <v>2086499</v>
      </c>
      <c r="AD49" s="90">
        <f>+'Tuition-2Yr'!AD49+'State Appropriations-2Yr'!AD49+'Local Appropriations-2Yr'!AD49+'Fed Contracts Grnts-2Yr'!AD49+'Other Contracts Grnts-2Yr'!AD49+'Investment Income-2Yr'!AD49+'All Other E&amp;G-2Yr'!AD49</f>
        <v>1986727.8089999999</v>
      </c>
      <c r="AE49" s="90">
        <f>+'Tuition-2Yr'!AE49+'State Appropriations-2Yr'!AE49+'Local Appropriations-2Yr'!AE49+'Fed Contracts Grnts-2Yr'!AE49+'Other Contracts Grnts-2Yr'!AE49+'Investment Income-2Yr'!AE49+'All Other E&amp;G-2Yr'!AE49</f>
        <v>1999762.7040000001</v>
      </c>
      <c r="AF49" s="90">
        <f>+'Tuition-2Yr'!AF49+'State Appropriations-2Yr'!AF49+'Local Appropriations-2Yr'!AF49+'Fed Contracts Grnts-2Yr'!AF49+'Other Contracts Grnts-2Yr'!AF49+'Investment Income-2Yr'!AF49+'All Other E&amp;G-2Yr'!AF49</f>
        <v>1809015.5570000003</v>
      </c>
      <c r="AG49" s="90">
        <f>+'Tuition-2Yr'!AG49+'State Appropriations-2Yr'!AG49+'Local Appropriations-2Yr'!AG49+'Fed Contracts Grnts-2Yr'!AG49+'Other Contracts Grnts-2Yr'!AG49+'Investment Income-2Yr'!AG49+'All Other E&amp;G-2Yr'!AG49</f>
        <v>1769645.2110000001</v>
      </c>
      <c r="AH49" s="90">
        <f>+'Tuition-2Yr'!AH49+'State Appropriations-2Yr'!AH49+'Local Appropriations-2Yr'!AH49+'Fed Contracts Grnts-2Yr'!AH49+'Other Contracts Grnts-2Yr'!AH49+'Investment Income-2Yr'!AH49+'All Other E&amp;G-2Yr'!AH49</f>
        <v>1837261.8779999998</v>
      </c>
      <c r="AI49" s="90">
        <f>+'Tuition-2Yr'!AI49+'State Appropriations-2Yr'!AI49+'Local Appropriations-2Yr'!AI49+'Fed Contracts Grnts-2Yr'!AI49+'Other Contracts Grnts-2Yr'!AI49+'Investment Income-2Yr'!AI49+'All Other E&amp;G-2Yr'!AI49</f>
        <v>1827953.368</v>
      </c>
      <c r="AJ49" s="90">
        <f>+'Tuition-2Yr'!AJ49+'State Appropriations-2Yr'!AJ49+'Local Appropriations-2Yr'!AJ49+'Fed Contracts Grnts-2Yr'!AJ49+'Other Contracts Grnts-2Yr'!AJ49+'Investment Income-2Yr'!AJ49+'All Other E&amp;G-2Yr'!AJ49</f>
        <v>0</v>
      </c>
      <c r="AK49" s="90">
        <f>+'Tuition-2Yr'!AK49+'State Appropriations-2Yr'!AK49+'Local Appropriations-2Yr'!AK49+'Fed Contracts Grnts-2Yr'!AK49+'Other Contracts Grnts-2Yr'!AK49+'Investment Income-2Yr'!AK49+'All Other E&amp;G-2Yr'!AK49</f>
        <v>2015506.1029999999</v>
      </c>
    </row>
    <row r="50" spans="1:37" ht="12.75" customHeight="1">
      <c r="A50" s="1" t="s">
        <v>62</v>
      </c>
      <c r="B50" s="90">
        <f>+'Tuition-2Yr'!B50+'State Appropriations-2Yr'!B50+'Local Appropriations-2Yr'!B50+'Fed Contracts Grnts-2Yr'!B50+'Other Contracts Grnts-2Yr'!B50+'Investment Income-2Yr'!B50+'All Other E&amp;G-2Yr'!B50</f>
        <v>0</v>
      </c>
      <c r="C50" s="90">
        <f>+'Tuition-2Yr'!C50+'State Appropriations-2Yr'!C50+'Local Appropriations-2Yr'!C50+'Fed Contracts Grnts-2Yr'!C50+'Other Contracts Grnts-2Yr'!C50+'Investment Income-2Yr'!C50+'All Other E&amp;G-2Yr'!C50</f>
        <v>0</v>
      </c>
      <c r="D50" s="90">
        <f>+'Tuition-2Yr'!D50+'State Appropriations-2Yr'!D50+'Local Appropriations-2Yr'!D50+'Fed Contracts Grnts-2Yr'!D50+'Other Contracts Grnts-2Yr'!D50+'Investment Income-2Yr'!D50+'All Other E&amp;G-2Yr'!D50</f>
        <v>0</v>
      </c>
      <c r="E50" s="90">
        <f>+'Tuition-2Yr'!E50+'State Appropriations-2Yr'!E50+'Local Appropriations-2Yr'!E50+'Fed Contracts Grnts-2Yr'!E50+'Other Contracts Grnts-2Yr'!E50+'Investment Income-2Yr'!E50+'All Other E&amp;G-2Yr'!E50</f>
        <v>0</v>
      </c>
      <c r="F50" s="90">
        <f>+'Tuition-2Yr'!F50+'State Appropriations-2Yr'!F50+'Local Appropriations-2Yr'!F50+'Fed Contracts Grnts-2Yr'!F50+'Other Contracts Grnts-2Yr'!F50+'Investment Income-2Yr'!F50+'All Other E&amp;G-2Yr'!F50</f>
        <v>0</v>
      </c>
      <c r="G50" s="90">
        <f>+'Tuition-2Yr'!G50+'State Appropriations-2Yr'!G50+'Local Appropriations-2Yr'!G50+'Fed Contracts Grnts-2Yr'!G50+'Other Contracts Grnts-2Yr'!G50+'Investment Income-2Yr'!G50+'All Other E&amp;G-2Yr'!G50</f>
        <v>0</v>
      </c>
      <c r="H50" s="90">
        <f>+'Tuition-2Yr'!H50+'State Appropriations-2Yr'!H50+'Local Appropriations-2Yr'!H50+'Fed Contracts Grnts-2Yr'!H50+'Other Contracts Grnts-2Yr'!H50+'Investment Income-2Yr'!H50+'All Other E&amp;G-2Yr'!H50</f>
        <v>0</v>
      </c>
      <c r="I50" s="90">
        <f>+'Tuition-2Yr'!I50+'State Appropriations-2Yr'!I50+'Local Appropriations-2Yr'!I50+'Fed Contracts Grnts-2Yr'!I50+'Other Contracts Grnts-2Yr'!I50+'Investment Income-2Yr'!I50+'All Other E&amp;G-2Yr'!I50</f>
        <v>0</v>
      </c>
      <c r="J50" s="90">
        <f>+'Tuition-2Yr'!J50+'State Appropriations-2Yr'!J50+'Local Appropriations-2Yr'!J50+'Fed Contracts Grnts-2Yr'!J50+'Other Contracts Grnts-2Yr'!J50+'Investment Income-2Yr'!J50+'All Other E&amp;G-2Yr'!J50</f>
        <v>1405.7430000000002</v>
      </c>
      <c r="K50" s="90">
        <f>+'Tuition-2Yr'!K50+'State Appropriations-2Yr'!K50+'Local Appropriations-2Yr'!K50+'Fed Contracts Grnts-2Yr'!K50+'Other Contracts Grnts-2Yr'!K50+'Investment Income-2Yr'!K50+'All Other E&amp;G-2Yr'!K50</f>
        <v>0</v>
      </c>
      <c r="L50" s="90">
        <f>+'Tuition-2Yr'!L50+'State Appropriations-2Yr'!L50+'Local Appropriations-2Yr'!L50+'Fed Contracts Grnts-2Yr'!L50+'Other Contracts Grnts-2Yr'!L50+'Investment Income-2Yr'!L50+'All Other E&amp;G-2Yr'!L50</f>
        <v>0</v>
      </c>
      <c r="M50" s="90">
        <f>+'Tuition-2Yr'!M50+'State Appropriations-2Yr'!M50+'Local Appropriations-2Yr'!M50+'Fed Contracts Grnts-2Yr'!M50+'Other Contracts Grnts-2Yr'!M50+'Investment Income-2Yr'!M50+'All Other E&amp;G-2Yr'!M50</f>
        <v>1447.6419999999998</v>
      </c>
      <c r="N50" s="90">
        <f>+'Tuition-2Yr'!N50+'State Appropriations-2Yr'!N50+'Local Appropriations-2Yr'!N50+'Fed Contracts Grnts-2Yr'!N50+'Other Contracts Grnts-2Yr'!N50+'Investment Income-2Yr'!N50+'All Other E&amp;G-2Yr'!N50</f>
        <v>0</v>
      </c>
      <c r="O50" s="90">
        <f>+'Tuition-2Yr'!O50+'State Appropriations-2Yr'!O50+'Local Appropriations-2Yr'!O50+'Fed Contracts Grnts-2Yr'!O50+'Other Contracts Grnts-2Yr'!O50+'Investment Income-2Yr'!O50+'All Other E&amp;G-2Yr'!O50</f>
        <v>33224.153630000001</v>
      </c>
      <c r="P50" s="90">
        <f>+'Tuition-2Yr'!P50+'State Appropriations-2Yr'!P50+'Local Appropriations-2Yr'!P50+'Fed Contracts Grnts-2Yr'!P50+'Other Contracts Grnts-2Yr'!P50+'Investment Income-2Yr'!P50+'All Other E&amp;G-2Yr'!P50</f>
        <v>0</v>
      </c>
      <c r="Q50" s="90">
        <f>+'Tuition-2Yr'!Q50+'State Appropriations-2Yr'!Q50+'Local Appropriations-2Yr'!Q50+'Fed Contracts Grnts-2Yr'!Q50+'Other Contracts Grnts-2Yr'!Q50+'Investment Income-2Yr'!Q50+'All Other E&amp;G-2Yr'!Q50</f>
        <v>0</v>
      </c>
      <c r="R50" s="90">
        <f>+'Tuition-2Yr'!R50+'State Appropriations-2Yr'!R50+'Local Appropriations-2Yr'!R50+'Fed Contracts Grnts-2Yr'!R50+'Other Contracts Grnts-2Yr'!R50+'Investment Income-2Yr'!R50+'All Other E&amp;G-2Yr'!R50</f>
        <v>37996.345000000008</v>
      </c>
      <c r="S50" s="90">
        <f>+'Tuition-2Yr'!S50+'State Appropriations-2Yr'!S50+'Local Appropriations-2Yr'!S50+'Fed Contracts Grnts-2Yr'!S50+'Other Contracts Grnts-2Yr'!S50+'Investment Income-2Yr'!S50+'All Other E&amp;G-2Yr'!S50</f>
        <v>38893.712</v>
      </c>
      <c r="T50" s="90">
        <f>+'Tuition-2Yr'!T50+'State Appropriations-2Yr'!T50+'Local Appropriations-2Yr'!T50+'Fed Contracts Grnts-2Yr'!T50+'Other Contracts Grnts-2Yr'!T50+'Investment Income-2Yr'!T50+'All Other E&amp;G-2Yr'!T50</f>
        <v>41950.998000000007</v>
      </c>
      <c r="U50" s="90">
        <f>+'Tuition-2Yr'!U50+'State Appropriations-2Yr'!U50+'Local Appropriations-2Yr'!U50+'Fed Contracts Grnts-2Yr'!U50+'Other Contracts Grnts-2Yr'!U50+'Investment Income-2Yr'!U50+'All Other E&amp;G-2Yr'!U50</f>
        <v>40050.120999999999</v>
      </c>
      <c r="V50" s="90">
        <f>+'Tuition-2Yr'!V50+'State Appropriations-2Yr'!V50+'Local Appropriations-2Yr'!V50+'Fed Contracts Grnts-2Yr'!V50+'Other Contracts Grnts-2Yr'!V50+'Investment Income-2Yr'!V50+'All Other E&amp;G-2Yr'!V50</f>
        <v>44798.805999999997</v>
      </c>
      <c r="W50" s="90">
        <f>+'Tuition-2Yr'!W50+'State Appropriations-2Yr'!W50+'Local Appropriations-2Yr'!W50+'Fed Contracts Grnts-2Yr'!W50+'Other Contracts Grnts-2Yr'!W50+'Investment Income-2Yr'!W50+'All Other E&amp;G-2Yr'!W50</f>
        <v>46350.69400000001</v>
      </c>
      <c r="X50" s="90">
        <f>+'Tuition-2Yr'!X50+'State Appropriations-2Yr'!X50+'Local Appropriations-2Yr'!X50+'Fed Contracts Grnts-2Yr'!X50+'Other Contracts Grnts-2Yr'!X50+'Investment Income-2Yr'!X50+'All Other E&amp;G-2Yr'!X50</f>
        <v>41033.383999999998</v>
      </c>
      <c r="Y50" s="90">
        <f>+'Tuition-2Yr'!Y50+'State Appropriations-2Yr'!Y50+'Local Appropriations-2Yr'!Y50+'Fed Contracts Grnts-2Yr'!Y50+'Other Contracts Grnts-2Yr'!Y50+'Investment Income-2Yr'!Y50+'All Other E&amp;G-2Yr'!Y50</f>
        <v>50230.261999999995</v>
      </c>
      <c r="Z50" s="90">
        <f>+'Tuition-2Yr'!Z50+'State Appropriations-2Yr'!Z50+'Local Appropriations-2Yr'!Z50+'Fed Contracts Grnts-2Yr'!Z50+'Other Contracts Grnts-2Yr'!Z50+'Investment Income-2Yr'!Z50+'All Other E&amp;G-2Yr'!Z50</f>
        <v>56678.780999999995</v>
      </c>
      <c r="AA50" s="90">
        <f>+'Tuition-2Yr'!AA50+'State Appropriations-2Yr'!AA50+'Local Appropriations-2Yr'!AA50+'Fed Contracts Grnts-2Yr'!AA50+'Other Contracts Grnts-2Yr'!AA50+'Investment Income-2Yr'!AA50+'All Other E&amp;G-2Yr'!AA50</f>
        <v>104057.46400000001</v>
      </c>
      <c r="AB50" s="90">
        <f>+'Tuition-2Yr'!AB50+'State Appropriations-2Yr'!AB50+'Local Appropriations-2Yr'!AB50+'Fed Contracts Grnts-2Yr'!AB50+'Other Contracts Grnts-2Yr'!AB50+'Investment Income-2Yr'!AB50+'All Other E&amp;G-2Yr'!AB50</f>
        <v>86725.017000000007</v>
      </c>
      <c r="AC50" s="90">
        <f>+'Tuition-2Yr'!AC50+'State Appropriations-2Yr'!AC50+'Local Appropriations-2Yr'!AC50+'Fed Contracts Grnts-2Yr'!AC50+'Other Contracts Grnts-2Yr'!AC50+'Investment Income-2Yr'!AC50+'All Other E&amp;G-2Yr'!AC50</f>
        <v>88888</v>
      </c>
      <c r="AD50" s="90">
        <f>+'Tuition-2Yr'!AD50+'State Appropriations-2Yr'!AD50+'Local Appropriations-2Yr'!AD50+'Fed Contracts Grnts-2Yr'!AD50+'Other Contracts Grnts-2Yr'!AD50+'Investment Income-2Yr'!AD50+'All Other E&amp;G-2Yr'!AD50</f>
        <v>84069.793999999994</v>
      </c>
      <c r="AE50" s="90">
        <f>+'Tuition-2Yr'!AE50+'State Appropriations-2Yr'!AE50+'Local Appropriations-2Yr'!AE50+'Fed Contracts Grnts-2Yr'!AE50+'Other Contracts Grnts-2Yr'!AE50+'Investment Income-2Yr'!AE50+'All Other E&amp;G-2Yr'!AE50</f>
        <v>126549.098</v>
      </c>
      <c r="AF50" s="90">
        <f>+'Tuition-2Yr'!AF50+'State Appropriations-2Yr'!AF50+'Local Appropriations-2Yr'!AF50+'Fed Contracts Grnts-2Yr'!AF50+'Other Contracts Grnts-2Yr'!AF50+'Investment Income-2Yr'!AF50+'All Other E&amp;G-2Yr'!AF50</f>
        <v>130341.39300000001</v>
      </c>
      <c r="AG50" s="90">
        <f>+'Tuition-2Yr'!AG50+'State Appropriations-2Yr'!AG50+'Local Appropriations-2Yr'!AG50+'Fed Contracts Grnts-2Yr'!AG50+'Other Contracts Grnts-2Yr'!AG50+'Investment Income-2Yr'!AG50+'All Other E&amp;G-2Yr'!AG50</f>
        <v>124227.553</v>
      </c>
      <c r="AH50" s="90">
        <f>+'Tuition-2Yr'!AH50+'State Appropriations-2Yr'!AH50+'Local Appropriations-2Yr'!AH50+'Fed Contracts Grnts-2Yr'!AH50+'Other Contracts Grnts-2Yr'!AH50+'Investment Income-2Yr'!AH50+'All Other E&amp;G-2Yr'!AH50</f>
        <v>158985.13399999999</v>
      </c>
      <c r="AI50" s="90">
        <f>+'Tuition-2Yr'!AI50+'State Appropriations-2Yr'!AI50+'Local Appropriations-2Yr'!AI50+'Fed Contracts Grnts-2Yr'!AI50+'Other Contracts Grnts-2Yr'!AI50+'Investment Income-2Yr'!AI50+'All Other E&amp;G-2Yr'!AI50</f>
        <v>134429.704</v>
      </c>
      <c r="AJ50" s="90">
        <f>+'Tuition-2Yr'!AJ50+'State Appropriations-2Yr'!AJ50+'Local Appropriations-2Yr'!AJ50+'Fed Contracts Grnts-2Yr'!AJ50+'Other Contracts Grnts-2Yr'!AJ50+'Investment Income-2Yr'!AJ50+'All Other E&amp;G-2Yr'!AJ50</f>
        <v>0</v>
      </c>
      <c r="AK50" s="90">
        <f>+'Tuition-2Yr'!AK50+'State Appropriations-2Yr'!AK50+'Local Appropriations-2Yr'!AK50+'Fed Contracts Grnts-2Yr'!AK50+'Other Contracts Grnts-2Yr'!AK50+'Investment Income-2Yr'!AK50+'All Other E&amp;G-2Yr'!AK50</f>
        <v>154321.25099999999</v>
      </c>
    </row>
    <row r="51" spans="1:37" ht="12.75" customHeight="1">
      <c r="A51" s="30" t="s">
        <v>63</v>
      </c>
      <c r="B51" s="91">
        <f>+'Tuition-2Yr'!B51+'State Appropriations-2Yr'!B51+'Local Appropriations-2Yr'!B51+'Fed Contracts Grnts-2Yr'!B51+'Other Contracts Grnts-2Yr'!B51+'Investment Income-2Yr'!B51+'All Other E&amp;G-2Yr'!B51</f>
        <v>0</v>
      </c>
      <c r="C51" s="91">
        <f>+'Tuition-2Yr'!C51+'State Appropriations-2Yr'!C51+'Local Appropriations-2Yr'!C51+'Fed Contracts Grnts-2Yr'!C51+'Other Contracts Grnts-2Yr'!C51+'Investment Income-2Yr'!C51+'All Other E&amp;G-2Yr'!C51</f>
        <v>0</v>
      </c>
      <c r="D51" s="91">
        <f>+'Tuition-2Yr'!D51+'State Appropriations-2Yr'!D51+'Local Appropriations-2Yr'!D51+'Fed Contracts Grnts-2Yr'!D51+'Other Contracts Grnts-2Yr'!D51+'Investment Income-2Yr'!D51+'All Other E&amp;G-2Yr'!D51</f>
        <v>0</v>
      </c>
      <c r="E51" s="91">
        <f>+'Tuition-2Yr'!E51+'State Appropriations-2Yr'!E51+'Local Appropriations-2Yr'!E51+'Fed Contracts Grnts-2Yr'!E51+'Other Contracts Grnts-2Yr'!E51+'Investment Income-2Yr'!E51+'All Other E&amp;G-2Yr'!E51</f>
        <v>0</v>
      </c>
      <c r="F51" s="91">
        <f>+'Tuition-2Yr'!F51+'State Appropriations-2Yr'!F51+'Local Appropriations-2Yr'!F51+'Fed Contracts Grnts-2Yr'!F51+'Other Contracts Grnts-2Yr'!F51+'Investment Income-2Yr'!F51+'All Other E&amp;G-2Yr'!F51</f>
        <v>0</v>
      </c>
      <c r="G51" s="91">
        <f>+'Tuition-2Yr'!G51+'State Appropriations-2Yr'!G51+'Local Appropriations-2Yr'!G51+'Fed Contracts Grnts-2Yr'!G51+'Other Contracts Grnts-2Yr'!G51+'Investment Income-2Yr'!G51+'All Other E&amp;G-2Yr'!G51</f>
        <v>0</v>
      </c>
      <c r="H51" s="91">
        <f>+'Tuition-2Yr'!H51+'State Appropriations-2Yr'!H51+'Local Appropriations-2Yr'!H51+'Fed Contracts Grnts-2Yr'!H51+'Other Contracts Grnts-2Yr'!H51+'Investment Income-2Yr'!H51+'All Other E&amp;G-2Yr'!H51</f>
        <v>0</v>
      </c>
      <c r="I51" s="91">
        <f>+'Tuition-2Yr'!I51+'State Appropriations-2Yr'!I51+'Local Appropriations-2Yr'!I51+'Fed Contracts Grnts-2Yr'!I51+'Other Contracts Grnts-2Yr'!I51+'Investment Income-2Yr'!I51+'All Other E&amp;G-2Yr'!I51</f>
        <v>0</v>
      </c>
      <c r="J51" s="91">
        <f>+'Tuition-2Yr'!J51+'State Appropriations-2Yr'!J51+'Local Appropriations-2Yr'!J51+'Fed Contracts Grnts-2Yr'!J51+'Other Contracts Grnts-2Yr'!J51+'Investment Income-2Yr'!J51+'All Other E&amp;G-2Yr'!J51</f>
        <v>512165.40099999995</v>
      </c>
      <c r="K51" s="91">
        <f>+'Tuition-2Yr'!K51+'State Appropriations-2Yr'!K51+'Local Appropriations-2Yr'!K51+'Fed Contracts Grnts-2Yr'!K51+'Other Contracts Grnts-2Yr'!K51+'Investment Income-2Yr'!K51+'All Other E&amp;G-2Yr'!K51</f>
        <v>0</v>
      </c>
      <c r="L51" s="91">
        <f>+'Tuition-2Yr'!L51+'State Appropriations-2Yr'!L51+'Local Appropriations-2Yr'!L51+'Fed Contracts Grnts-2Yr'!L51+'Other Contracts Grnts-2Yr'!L51+'Investment Income-2Yr'!L51+'All Other E&amp;G-2Yr'!L51</f>
        <v>0</v>
      </c>
      <c r="M51" s="91">
        <f>+'Tuition-2Yr'!M51+'State Appropriations-2Yr'!M51+'Local Appropriations-2Yr'!M51+'Fed Contracts Grnts-2Yr'!M51+'Other Contracts Grnts-2Yr'!M51+'Investment Income-2Yr'!M51+'All Other E&amp;G-2Yr'!M51</f>
        <v>608228.70199999993</v>
      </c>
      <c r="N51" s="91">
        <f>+'Tuition-2Yr'!N51+'State Appropriations-2Yr'!N51+'Local Appropriations-2Yr'!N51+'Fed Contracts Grnts-2Yr'!N51+'Other Contracts Grnts-2Yr'!N51+'Investment Income-2Yr'!N51+'All Other E&amp;G-2Yr'!N51</f>
        <v>0</v>
      </c>
      <c r="O51" s="91">
        <f>+'Tuition-2Yr'!O51+'State Appropriations-2Yr'!O51+'Local Appropriations-2Yr'!O51+'Fed Contracts Grnts-2Yr'!O51+'Other Contracts Grnts-2Yr'!O51+'Investment Income-2Yr'!O51+'All Other E&amp;G-2Yr'!O51</f>
        <v>649977.31699999981</v>
      </c>
      <c r="P51" s="91">
        <f>+'Tuition-2Yr'!P51+'State Appropriations-2Yr'!P51+'Local Appropriations-2Yr'!P51+'Fed Contracts Grnts-2Yr'!P51+'Other Contracts Grnts-2Yr'!P51+'Investment Income-2Yr'!P51+'All Other E&amp;G-2Yr'!P51</f>
        <v>0</v>
      </c>
      <c r="Q51" s="91">
        <f>+'Tuition-2Yr'!Q51+'State Appropriations-2Yr'!Q51+'Local Appropriations-2Yr'!Q51+'Fed Contracts Grnts-2Yr'!Q51+'Other Contracts Grnts-2Yr'!Q51+'Investment Income-2Yr'!Q51+'All Other E&amp;G-2Yr'!Q51</f>
        <v>0</v>
      </c>
      <c r="R51" s="91">
        <f>+'Tuition-2Yr'!R51+'State Appropriations-2Yr'!R51+'Local Appropriations-2Yr'!R51+'Fed Contracts Grnts-2Yr'!R51+'Other Contracts Grnts-2Yr'!R51+'Investment Income-2Yr'!R51+'All Other E&amp;G-2Yr'!R51</f>
        <v>763632.26900000009</v>
      </c>
      <c r="S51" s="91">
        <f>+'Tuition-2Yr'!S51+'State Appropriations-2Yr'!S51+'Local Appropriations-2Yr'!S51+'Fed Contracts Grnts-2Yr'!S51+'Other Contracts Grnts-2Yr'!S51+'Investment Income-2Yr'!S51+'All Other E&amp;G-2Yr'!S51</f>
        <v>832722.11600000015</v>
      </c>
      <c r="T51" s="91">
        <f>+'Tuition-2Yr'!T51+'State Appropriations-2Yr'!T51+'Local Appropriations-2Yr'!T51+'Fed Contracts Grnts-2Yr'!T51+'Other Contracts Grnts-2Yr'!T51+'Investment Income-2Yr'!T51+'All Other E&amp;G-2Yr'!T51</f>
        <v>933358.46400000004</v>
      </c>
      <c r="U51" s="91">
        <f>+'Tuition-2Yr'!U51+'State Appropriations-2Yr'!U51+'Local Appropriations-2Yr'!U51+'Fed Contracts Grnts-2Yr'!U51+'Other Contracts Grnts-2Yr'!U51+'Investment Income-2Yr'!U51+'All Other E&amp;G-2Yr'!U51</f>
        <v>1024853.1619999999</v>
      </c>
      <c r="V51" s="91">
        <f>+'Tuition-2Yr'!V51+'State Appropriations-2Yr'!V51+'Local Appropriations-2Yr'!V51+'Fed Contracts Grnts-2Yr'!V51+'Other Contracts Grnts-2Yr'!V51+'Investment Income-2Yr'!V51+'All Other E&amp;G-2Yr'!V51</f>
        <v>1091909.811</v>
      </c>
      <c r="W51" s="91">
        <f>+'Tuition-2Yr'!W51+'State Appropriations-2Yr'!W51+'Local Appropriations-2Yr'!W51+'Fed Contracts Grnts-2Yr'!W51+'Other Contracts Grnts-2Yr'!W51+'Investment Income-2Yr'!W51+'All Other E&amp;G-2Yr'!W51</f>
        <v>1175455.4259999997</v>
      </c>
      <c r="X51" s="91">
        <f>+'Tuition-2Yr'!X51+'State Appropriations-2Yr'!X51+'Local Appropriations-2Yr'!X51+'Fed Contracts Grnts-2Yr'!X51+'Other Contracts Grnts-2Yr'!X51+'Investment Income-2Yr'!X51+'All Other E&amp;G-2Yr'!X51</f>
        <v>1177251.422</v>
      </c>
      <c r="Y51" s="91">
        <f>+'Tuition-2Yr'!Y51+'State Appropriations-2Yr'!Y51+'Local Appropriations-2Yr'!Y51+'Fed Contracts Grnts-2Yr'!Y51+'Other Contracts Grnts-2Yr'!Y51+'Investment Income-2Yr'!Y51+'All Other E&amp;G-2Yr'!Y51</f>
        <v>1109264.453</v>
      </c>
      <c r="Z51" s="91">
        <f>+'Tuition-2Yr'!Z51+'State Appropriations-2Yr'!Z51+'Local Appropriations-2Yr'!Z51+'Fed Contracts Grnts-2Yr'!Z51+'Other Contracts Grnts-2Yr'!Z51+'Investment Income-2Yr'!Z51+'All Other E&amp;G-2Yr'!Z51</f>
        <v>1150017.017</v>
      </c>
      <c r="AA51" s="91">
        <f>+'Tuition-2Yr'!AA51+'State Appropriations-2Yr'!AA51+'Local Appropriations-2Yr'!AA51+'Fed Contracts Grnts-2Yr'!AA51+'Other Contracts Grnts-2Yr'!AA51+'Investment Income-2Yr'!AA51+'All Other E&amp;G-2Yr'!AA51</f>
        <v>1247284.3229999999</v>
      </c>
      <c r="AB51" s="91">
        <f>+'Tuition-2Yr'!AB51+'State Appropriations-2Yr'!AB51+'Local Appropriations-2Yr'!AB51+'Fed Contracts Grnts-2Yr'!AB51+'Other Contracts Grnts-2Yr'!AB51+'Investment Income-2Yr'!AB51+'All Other E&amp;G-2Yr'!AB51</f>
        <v>1561013.8570000001</v>
      </c>
      <c r="AC51" s="91">
        <f>+'Tuition-2Yr'!AC51+'State Appropriations-2Yr'!AC51+'Local Appropriations-2Yr'!AC51+'Fed Contracts Grnts-2Yr'!AC51+'Other Contracts Grnts-2Yr'!AC51+'Investment Income-2Yr'!AC51+'All Other E&amp;G-2Yr'!AC51</f>
        <v>1669441</v>
      </c>
      <c r="AD51" s="91">
        <f>+'Tuition-2Yr'!AD51+'State Appropriations-2Yr'!AD51+'Local Appropriations-2Yr'!AD51+'Fed Contracts Grnts-2Yr'!AD51+'Other Contracts Grnts-2Yr'!AD51+'Investment Income-2Yr'!AD51+'All Other E&amp;G-2Yr'!AD51</f>
        <v>1597800.976</v>
      </c>
      <c r="AE51" s="91">
        <f>+'Tuition-2Yr'!AE51+'State Appropriations-2Yr'!AE51+'Local Appropriations-2Yr'!AE51+'Fed Contracts Grnts-2Yr'!AE51+'Other Contracts Grnts-2Yr'!AE51+'Investment Income-2Yr'!AE51+'All Other E&amp;G-2Yr'!AE51</f>
        <v>1623187.39</v>
      </c>
      <c r="AF51" s="91">
        <f>+'Tuition-2Yr'!AF51+'State Appropriations-2Yr'!AF51+'Local Appropriations-2Yr'!AF51+'Fed Contracts Grnts-2Yr'!AF51+'Other Contracts Grnts-2Yr'!AF51+'Investment Income-2Yr'!AF51+'All Other E&amp;G-2Yr'!AF51</f>
        <v>393741.01399999997</v>
      </c>
      <c r="AG51" s="91">
        <f>+'Tuition-2Yr'!AG51+'State Appropriations-2Yr'!AG51+'Local Appropriations-2Yr'!AG51+'Fed Contracts Grnts-2Yr'!AG51+'Other Contracts Grnts-2Yr'!AG51+'Investment Income-2Yr'!AG51+'All Other E&amp;G-2Yr'!AG51</f>
        <v>394067.82399999991</v>
      </c>
      <c r="AH51" s="91">
        <f>+'Tuition-2Yr'!AH51+'State Appropriations-2Yr'!AH51+'Local Appropriations-2Yr'!AH51+'Fed Contracts Grnts-2Yr'!AH51+'Other Contracts Grnts-2Yr'!AH51+'Investment Income-2Yr'!AH51+'All Other E&amp;G-2Yr'!AH51</f>
        <v>1618330.541</v>
      </c>
      <c r="AI51" s="91">
        <f>+'Tuition-2Yr'!AI51+'State Appropriations-2Yr'!AI51+'Local Appropriations-2Yr'!AI51+'Fed Contracts Grnts-2Yr'!AI51+'Other Contracts Grnts-2Yr'!AI51+'Investment Income-2Yr'!AI51+'All Other E&amp;G-2Yr'!AI51</f>
        <v>1586183.3840000001</v>
      </c>
      <c r="AJ51" s="91">
        <f>+'Tuition-2Yr'!AJ51+'State Appropriations-2Yr'!AJ51+'Local Appropriations-2Yr'!AJ51+'Fed Contracts Grnts-2Yr'!AJ51+'Other Contracts Grnts-2Yr'!AJ51+'Investment Income-2Yr'!AJ51+'All Other E&amp;G-2Yr'!AJ51</f>
        <v>0</v>
      </c>
      <c r="AK51" s="91">
        <f>+'Tuition-2Yr'!AK51+'State Appropriations-2Yr'!AK51+'Local Appropriations-2Yr'!AK51+'Fed Contracts Grnts-2Yr'!AK51+'Other Contracts Grnts-2Yr'!AK51+'Investment Income-2Yr'!AK51+'All Other E&amp;G-2Yr'!AK51</f>
        <v>1615208.8029999998</v>
      </c>
    </row>
    <row r="52" spans="1:37" ht="12.75" customHeight="1">
      <c r="A52" s="6" t="s">
        <v>64</v>
      </c>
      <c r="B52" s="90">
        <f>+'Tuition-2Yr'!B52+'State Appropriations-2Yr'!B52+'Local Appropriations-2Yr'!B52+'Fed Contracts Grnts-2Yr'!B52+'Other Contracts Grnts-2Yr'!B52+'Investment Income-2Yr'!B52+'All Other E&amp;G-2Yr'!B52</f>
        <v>0</v>
      </c>
      <c r="C52" s="90">
        <f>+'Tuition-2Yr'!C52+'State Appropriations-2Yr'!C52+'Local Appropriations-2Yr'!C52+'Fed Contracts Grnts-2Yr'!C52+'Other Contracts Grnts-2Yr'!C52+'Investment Income-2Yr'!C52+'All Other E&amp;G-2Yr'!C52</f>
        <v>0</v>
      </c>
      <c r="D52" s="90">
        <f>+'Tuition-2Yr'!D52+'State Appropriations-2Yr'!D52+'Local Appropriations-2Yr'!D52+'Fed Contracts Grnts-2Yr'!D52+'Other Contracts Grnts-2Yr'!D52+'Investment Income-2Yr'!D52+'All Other E&amp;G-2Yr'!D52</f>
        <v>0</v>
      </c>
      <c r="E52" s="90">
        <f>+'Tuition-2Yr'!E52+'State Appropriations-2Yr'!E52+'Local Appropriations-2Yr'!E52+'Fed Contracts Grnts-2Yr'!E52+'Other Contracts Grnts-2Yr'!E52+'Investment Income-2Yr'!E52+'All Other E&amp;G-2Yr'!E52</f>
        <v>0</v>
      </c>
      <c r="F52" s="90">
        <f>+'Tuition-2Yr'!F52+'State Appropriations-2Yr'!F52+'Local Appropriations-2Yr'!F52+'Fed Contracts Grnts-2Yr'!F52+'Other Contracts Grnts-2Yr'!F52+'Investment Income-2Yr'!F52+'All Other E&amp;G-2Yr'!F52</f>
        <v>0</v>
      </c>
      <c r="G52" s="90">
        <f>+'Tuition-2Yr'!G52+'State Appropriations-2Yr'!G52+'Local Appropriations-2Yr'!G52+'Fed Contracts Grnts-2Yr'!G52+'Other Contracts Grnts-2Yr'!G52+'Investment Income-2Yr'!G52+'All Other E&amp;G-2Yr'!G52</f>
        <v>0</v>
      </c>
      <c r="H52" s="90">
        <f>+'Tuition-2Yr'!H52+'State Appropriations-2Yr'!H52+'Local Appropriations-2Yr'!H52+'Fed Contracts Grnts-2Yr'!H52+'Other Contracts Grnts-2Yr'!H52+'Investment Income-2Yr'!H52+'All Other E&amp;G-2Yr'!H52</f>
        <v>0</v>
      </c>
      <c r="I52" s="90">
        <f>+'Tuition-2Yr'!I52+'State Appropriations-2Yr'!I52+'Local Appropriations-2Yr'!I52+'Fed Contracts Grnts-2Yr'!I52+'Other Contracts Grnts-2Yr'!I52+'Investment Income-2Yr'!I52+'All Other E&amp;G-2Yr'!I52</f>
        <v>0</v>
      </c>
      <c r="J52" s="90">
        <f>+'Tuition-2Yr'!J52+'State Appropriations-2Yr'!J52+'Local Appropriations-2Yr'!J52+'Fed Contracts Grnts-2Yr'!J52+'Other Contracts Grnts-2Yr'!J52+'Investment Income-2Yr'!J52+'All Other E&amp;G-2Yr'!J52</f>
        <v>2543015.1159999999</v>
      </c>
      <c r="K52" s="90">
        <f>+'Tuition-2Yr'!K52+'State Appropriations-2Yr'!K52+'Local Appropriations-2Yr'!K52+'Fed Contracts Grnts-2Yr'!K52+'Other Contracts Grnts-2Yr'!K52+'Investment Income-2Yr'!K52+'All Other E&amp;G-2Yr'!K52</f>
        <v>0</v>
      </c>
      <c r="L52" s="90">
        <f>+'Tuition-2Yr'!L52+'State Appropriations-2Yr'!L52+'Local Appropriations-2Yr'!L52+'Fed Contracts Grnts-2Yr'!L52+'Other Contracts Grnts-2Yr'!L52+'Investment Income-2Yr'!L52+'All Other E&amp;G-2Yr'!L52</f>
        <v>0</v>
      </c>
      <c r="M52" s="90">
        <f>+'Tuition-2Yr'!M52+'State Appropriations-2Yr'!M52+'Local Appropriations-2Yr'!M52+'Fed Contracts Grnts-2Yr'!M52+'Other Contracts Grnts-2Yr'!M52+'Investment Income-2Yr'!M52+'All Other E&amp;G-2Yr'!M52</f>
        <v>3069441.7249999996</v>
      </c>
      <c r="N52" s="90">
        <f>+'Tuition-2Yr'!N52+'State Appropriations-2Yr'!N52+'Local Appropriations-2Yr'!N52+'Fed Contracts Grnts-2Yr'!N52+'Other Contracts Grnts-2Yr'!N52+'Investment Income-2Yr'!N52+'All Other E&amp;G-2Yr'!N52</f>
        <v>0</v>
      </c>
      <c r="O52" s="90">
        <f>+'Tuition-2Yr'!O52+'State Appropriations-2Yr'!O52+'Local Appropriations-2Yr'!O52+'Fed Contracts Grnts-2Yr'!O52+'Other Contracts Grnts-2Yr'!O52+'Investment Income-2Yr'!O52+'All Other E&amp;G-2Yr'!O52</f>
        <v>3380806.2283799993</v>
      </c>
      <c r="P52" s="90">
        <f>+'Tuition-2Yr'!P52+'State Appropriations-2Yr'!P52+'Local Appropriations-2Yr'!P52+'Fed Contracts Grnts-2Yr'!P52+'Other Contracts Grnts-2Yr'!P52+'Investment Income-2Yr'!P52+'All Other E&amp;G-2Yr'!P52</f>
        <v>0</v>
      </c>
      <c r="Q52" s="90">
        <f>+'Tuition-2Yr'!Q52+'State Appropriations-2Yr'!Q52+'Local Appropriations-2Yr'!Q52+'Fed Contracts Grnts-2Yr'!Q52+'Other Contracts Grnts-2Yr'!Q52+'Investment Income-2Yr'!Q52+'All Other E&amp;G-2Yr'!Q52</f>
        <v>0</v>
      </c>
      <c r="R52" s="90">
        <f>+'Tuition-2Yr'!R52+'State Appropriations-2Yr'!R52+'Local Appropriations-2Yr'!R52+'Fed Contracts Grnts-2Yr'!R52+'Other Contracts Grnts-2Yr'!R52+'Investment Income-2Yr'!R52+'All Other E&amp;G-2Yr'!R52</f>
        <v>3539228.469</v>
      </c>
      <c r="S52" s="90">
        <f>+'Tuition-2Yr'!S52+'State Appropriations-2Yr'!S52+'Local Appropriations-2Yr'!S52+'Fed Contracts Grnts-2Yr'!S52+'Other Contracts Grnts-2Yr'!S52+'Investment Income-2Yr'!S52+'All Other E&amp;G-2Yr'!S52</f>
        <v>4008441.5580000002</v>
      </c>
      <c r="T52" s="90">
        <f>+'Tuition-2Yr'!T52+'State Appropriations-2Yr'!T52+'Local Appropriations-2Yr'!T52+'Fed Contracts Grnts-2Yr'!T52+'Other Contracts Grnts-2Yr'!T52+'Investment Income-2Yr'!T52+'All Other E&amp;G-2Yr'!T52</f>
        <v>4470366.0080000004</v>
      </c>
      <c r="U52" s="90">
        <f>+'Tuition-2Yr'!U52+'State Appropriations-2Yr'!U52+'Local Appropriations-2Yr'!U52+'Fed Contracts Grnts-2Yr'!U52+'Other Contracts Grnts-2Yr'!U52+'Investment Income-2Yr'!U52+'All Other E&amp;G-2Yr'!U52</f>
        <v>4351651.6179999998</v>
      </c>
      <c r="V52" s="90">
        <f>+'Tuition-2Yr'!V52+'State Appropriations-2Yr'!V52+'Local Appropriations-2Yr'!V52+'Fed Contracts Grnts-2Yr'!V52+'Other Contracts Grnts-2Yr'!V52+'Investment Income-2Yr'!V52+'All Other E&amp;G-2Yr'!V52</f>
        <v>4585745.9480000008</v>
      </c>
      <c r="W52" s="90">
        <f>+'Tuition-2Yr'!W52+'State Appropriations-2Yr'!W52+'Local Appropriations-2Yr'!W52+'Fed Contracts Grnts-2Yr'!W52+'Other Contracts Grnts-2Yr'!W52+'Investment Income-2Yr'!W52+'All Other E&amp;G-2Yr'!W52</f>
        <v>5297115.0130000003</v>
      </c>
      <c r="X52" s="90">
        <f>+'Tuition-2Yr'!X52+'State Appropriations-2Yr'!X52+'Local Appropriations-2Yr'!X52+'Fed Contracts Grnts-2Yr'!X52+'Other Contracts Grnts-2Yr'!X52+'Investment Income-2Yr'!X52+'All Other E&amp;G-2Yr'!X52</f>
        <v>5048333.1519999998</v>
      </c>
      <c r="Y52" s="90">
        <f>+'Tuition-2Yr'!Y52+'State Appropriations-2Yr'!Y52+'Local Appropriations-2Yr'!Y52+'Fed Contracts Grnts-2Yr'!Y52+'Other Contracts Grnts-2Yr'!Y52+'Investment Income-2Yr'!Y52+'All Other E&amp;G-2Yr'!Y52</f>
        <v>5309837.9899999993</v>
      </c>
      <c r="Z52" s="90">
        <f>+'Tuition-2Yr'!Z52+'State Appropriations-2Yr'!Z52+'Local Appropriations-2Yr'!Z52+'Fed Contracts Grnts-2Yr'!Z52+'Other Contracts Grnts-2Yr'!Z52+'Investment Income-2Yr'!Z52+'All Other E&amp;G-2Yr'!Z52</f>
        <v>5731227.4660000009</v>
      </c>
      <c r="AA52" s="90">
        <f>+'Tuition-2Yr'!AA52+'State Appropriations-2Yr'!AA52+'Local Appropriations-2Yr'!AA52+'Fed Contracts Grnts-2Yr'!AA52+'Other Contracts Grnts-2Yr'!AA52+'Investment Income-2Yr'!AA52+'All Other E&amp;G-2Yr'!AA52</f>
        <v>6780967.6339999996</v>
      </c>
      <c r="AB52" s="90">
        <f>+'Tuition-2Yr'!AB52+'State Appropriations-2Yr'!AB52+'Local Appropriations-2Yr'!AB52+'Fed Contracts Grnts-2Yr'!AB52+'Other Contracts Grnts-2Yr'!AB52+'Investment Income-2Yr'!AB52+'All Other E&amp;G-2Yr'!AB52</f>
        <v>7629103.1689999988</v>
      </c>
      <c r="AC52" s="90">
        <f>+'Tuition-2Yr'!AC52+'State Appropriations-2Yr'!AC52+'Local Appropriations-2Yr'!AC52+'Fed Contracts Grnts-2Yr'!AC52+'Other Contracts Grnts-2Yr'!AC52+'Investment Income-2Yr'!AC52+'All Other E&amp;G-2Yr'!AC52</f>
        <v>8014177</v>
      </c>
      <c r="AD52" s="90">
        <f>+'Tuition-2Yr'!AD52+'State Appropriations-2Yr'!AD52+'Local Appropriations-2Yr'!AD52+'Fed Contracts Grnts-2Yr'!AD52+'Other Contracts Grnts-2Yr'!AD52+'Investment Income-2Yr'!AD52+'All Other E&amp;G-2Yr'!AD52</f>
        <v>8231091.9860000005</v>
      </c>
      <c r="AE52" s="90">
        <f>+'Tuition-2Yr'!AE52+'State Appropriations-2Yr'!AE52+'Local Appropriations-2Yr'!AE52+'Fed Contracts Grnts-2Yr'!AE52+'Other Contracts Grnts-2Yr'!AE52+'Investment Income-2Yr'!AE52+'All Other E&amp;G-2Yr'!AE52</f>
        <v>8422786.9469999988</v>
      </c>
      <c r="AF52" s="90">
        <f>+'Tuition-2Yr'!AF52+'State Appropriations-2Yr'!AF52+'Local Appropriations-2Yr'!AF52+'Fed Contracts Grnts-2Yr'!AF52+'Other Contracts Grnts-2Yr'!AF52+'Investment Income-2Yr'!AF52+'All Other E&amp;G-2Yr'!AF52</f>
        <v>8535715.818</v>
      </c>
      <c r="AG52" s="90">
        <f>+'Tuition-2Yr'!AG52+'State Appropriations-2Yr'!AG52+'Local Appropriations-2Yr'!AG52+'Fed Contracts Grnts-2Yr'!AG52+'Other Contracts Grnts-2Yr'!AG52+'Investment Income-2Yr'!AG52+'All Other E&amp;G-2Yr'!AG52</f>
        <v>8620778.9110000003</v>
      </c>
      <c r="AH52" s="90">
        <f>+'Tuition-2Yr'!AH52+'State Appropriations-2Yr'!AH52+'Local Appropriations-2Yr'!AH52+'Fed Contracts Grnts-2Yr'!AH52+'Other Contracts Grnts-2Yr'!AH52+'Investment Income-2Yr'!AH52+'All Other E&amp;G-2Yr'!AH52</f>
        <v>8592222.3970000017</v>
      </c>
      <c r="AI52" s="90">
        <f>+'Tuition-2Yr'!AI52+'State Appropriations-2Yr'!AI52+'Local Appropriations-2Yr'!AI52+'Fed Contracts Grnts-2Yr'!AI52+'Other Contracts Grnts-2Yr'!AI52+'Investment Income-2Yr'!AI52+'All Other E&amp;G-2Yr'!AI52</f>
        <v>8521742.3790000007</v>
      </c>
      <c r="AJ52" s="90">
        <f>+'Tuition-2Yr'!AJ52+'State Appropriations-2Yr'!AJ52+'Local Appropriations-2Yr'!AJ52+'Fed Contracts Grnts-2Yr'!AJ52+'Other Contracts Grnts-2Yr'!AJ52+'Investment Income-2Yr'!AJ52+'All Other E&amp;G-2Yr'!AJ52</f>
        <v>0</v>
      </c>
      <c r="AK52" s="90">
        <f>+'Tuition-2Yr'!AK52+'State Appropriations-2Yr'!AK52+'Local Appropriations-2Yr'!AK52+'Fed Contracts Grnts-2Yr'!AK52+'Other Contracts Grnts-2Yr'!AK52+'Investment Income-2Yr'!AK52+'All Other E&amp;G-2Yr'!AK52</f>
        <v>9228811.8159999996</v>
      </c>
    </row>
    <row r="53" spans="1:37" ht="12.75" customHeight="1">
      <c r="A53" s="6" t="s">
        <v>94</v>
      </c>
      <c r="B53" s="90">
        <f>+'Tuition-2Yr'!B53+'State Appropriations-2Yr'!B53+'Local Appropriations-2Yr'!B53+'Fed Contracts Grnts-2Yr'!B53+'Other Contracts Grnts-2Yr'!B53+'Investment Income-2Yr'!B53+'All Other E&amp;G-2Yr'!B53</f>
        <v>0</v>
      </c>
      <c r="C53" s="90">
        <f>+'Tuition-2Yr'!C53+'State Appropriations-2Yr'!C53+'Local Appropriations-2Yr'!C53+'Fed Contracts Grnts-2Yr'!C53+'Other Contracts Grnts-2Yr'!C53+'Investment Income-2Yr'!C53+'All Other E&amp;G-2Yr'!C53</f>
        <v>0</v>
      </c>
      <c r="D53" s="90">
        <f>+'Tuition-2Yr'!D53+'State Appropriations-2Yr'!D53+'Local Appropriations-2Yr'!D53+'Fed Contracts Grnts-2Yr'!D53+'Other Contracts Grnts-2Yr'!D53+'Investment Income-2Yr'!D53+'All Other E&amp;G-2Yr'!D53</f>
        <v>0</v>
      </c>
      <c r="E53" s="90">
        <f>+'Tuition-2Yr'!E53+'State Appropriations-2Yr'!E53+'Local Appropriations-2Yr'!E53+'Fed Contracts Grnts-2Yr'!E53+'Other Contracts Grnts-2Yr'!E53+'Investment Income-2Yr'!E53+'All Other E&amp;G-2Yr'!E53</f>
        <v>0</v>
      </c>
      <c r="F53" s="90">
        <f>+'Tuition-2Yr'!F53+'State Appropriations-2Yr'!F53+'Local Appropriations-2Yr'!F53+'Fed Contracts Grnts-2Yr'!F53+'Other Contracts Grnts-2Yr'!F53+'Investment Income-2Yr'!F53+'All Other E&amp;G-2Yr'!F53</f>
        <v>0</v>
      </c>
      <c r="G53" s="90">
        <f>+'Tuition-2Yr'!G53+'State Appropriations-2Yr'!G53+'Local Appropriations-2Yr'!G53+'Fed Contracts Grnts-2Yr'!G53+'Other Contracts Grnts-2Yr'!G53+'Investment Income-2Yr'!G53+'All Other E&amp;G-2Yr'!G53</f>
        <v>0</v>
      </c>
      <c r="H53" s="90">
        <f>+'Tuition-2Yr'!H53+'State Appropriations-2Yr'!H53+'Local Appropriations-2Yr'!H53+'Fed Contracts Grnts-2Yr'!H53+'Other Contracts Grnts-2Yr'!H53+'Investment Income-2Yr'!H53+'All Other E&amp;G-2Yr'!H53</f>
        <v>0</v>
      </c>
      <c r="I53" s="90">
        <f>+'Tuition-2Yr'!I53+'State Appropriations-2Yr'!I53+'Local Appropriations-2Yr'!I53+'Fed Contracts Grnts-2Yr'!I53+'Other Contracts Grnts-2Yr'!I53+'Investment Income-2Yr'!I53+'All Other E&amp;G-2Yr'!I53</f>
        <v>0</v>
      </c>
      <c r="J53" s="90">
        <f>+'Tuition-2Yr'!J53+'State Appropriations-2Yr'!J53+'Local Appropriations-2Yr'!J53+'Fed Contracts Grnts-2Yr'!J53+'Other Contracts Grnts-2Yr'!J53+'Investment Income-2Yr'!J53+'All Other E&amp;G-2Yr'!J53</f>
        <v>0</v>
      </c>
      <c r="K53" s="90">
        <f>+'Tuition-2Yr'!K53+'State Appropriations-2Yr'!K53+'Local Appropriations-2Yr'!K53+'Fed Contracts Grnts-2Yr'!K53+'Other Contracts Grnts-2Yr'!K53+'Investment Income-2Yr'!K53+'All Other E&amp;G-2Yr'!K53</f>
        <v>0</v>
      </c>
      <c r="L53" s="90">
        <f>+'Tuition-2Yr'!L53+'State Appropriations-2Yr'!L53+'Local Appropriations-2Yr'!L53+'Fed Contracts Grnts-2Yr'!L53+'Other Contracts Grnts-2Yr'!L53+'Investment Income-2Yr'!L53+'All Other E&amp;G-2Yr'!L53</f>
        <v>0</v>
      </c>
      <c r="M53" s="90">
        <f>+'Tuition-2Yr'!M53+'State Appropriations-2Yr'!M53+'Local Appropriations-2Yr'!M53+'Fed Contracts Grnts-2Yr'!M53+'Other Contracts Grnts-2Yr'!M53+'Investment Income-2Yr'!M53+'All Other E&amp;G-2Yr'!M53</f>
        <v>0</v>
      </c>
      <c r="N53" s="90">
        <f>+'Tuition-2Yr'!N53+'State Appropriations-2Yr'!N53+'Local Appropriations-2Yr'!N53+'Fed Contracts Grnts-2Yr'!N53+'Other Contracts Grnts-2Yr'!N53+'Investment Income-2Yr'!N53+'All Other E&amp;G-2Yr'!N53</f>
        <v>0</v>
      </c>
      <c r="O53" s="90">
        <f>+'Tuition-2Yr'!O53+'State Appropriations-2Yr'!O53+'Local Appropriations-2Yr'!O53+'Fed Contracts Grnts-2Yr'!O53+'Other Contracts Grnts-2Yr'!O53+'Investment Income-2Yr'!O53+'All Other E&amp;G-2Yr'!O53</f>
        <v>0</v>
      </c>
      <c r="P53" s="90">
        <f>+'Tuition-2Yr'!P53+'State Appropriations-2Yr'!P53+'Local Appropriations-2Yr'!P53+'Fed Contracts Grnts-2Yr'!P53+'Other Contracts Grnts-2Yr'!P53+'Investment Income-2Yr'!P53+'All Other E&amp;G-2Yr'!P53</f>
        <v>0</v>
      </c>
      <c r="Q53" s="90">
        <f>+'Tuition-2Yr'!Q53+'State Appropriations-2Yr'!Q53+'Local Appropriations-2Yr'!Q53+'Fed Contracts Grnts-2Yr'!Q53+'Other Contracts Grnts-2Yr'!Q53+'Investment Income-2Yr'!Q53+'All Other E&amp;G-2Yr'!Q53</f>
        <v>0</v>
      </c>
      <c r="R53" s="90">
        <f>+'Tuition-2Yr'!R53+'State Appropriations-2Yr'!R53+'Local Appropriations-2Yr'!R53+'Fed Contracts Grnts-2Yr'!R53+'Other Contracts Grnts-2Yr'!R53+'Investment Income-2Yr'!R53+'All Other E&amp;G-2Yr'!R53</f>
        <v>0</v>
      </c>
      <c r="S53" s="90">
        <f>+'Tuition-2Yr'!S53+'State Appropriations-2Yr'!S53+'Local Appropriations-2Yr'!S53+'Fed Contracts Grnts-2Yr'!S53+'Other Contracts Grnts-2Yr'!S53+'Investment Income-2Yr'!S53+'All Other E&amp;G-2Yr'!S53</f>
        <v>0</v>
      </c>
      <c r="T53" s="90">
        <f>+'Tuition-2Yr'!T53+'State Appropriations-2Yr'!T53+'Local Appropriations-2Yr'!T53+'Fed Contracts Grnts-2Yr'!T53+'Other Contracts Grnts-2Yr'!T53+'Investment Income-2Yr'!T53+'All Other E&amp;G-2Yr'!T53</f>
        <v>0</v>
      </c>
      <c r="U53" s="90">
        <f>+'Tuition-2Yr'!U53+'State Appropriations-2Yr'!U53+'Local Appropriations-2Yr'!U53+'Fed Contracts Grnts-2Yr'!U53+'Other Contracts Grnts-2Yr'!U53+'Investment Income-2Yr'!U53+'All Other E&amp;G-2Yr'!U53</f>
        <v>0</v>
      </c>
      <c r="V53" s="90">
        <f>+'Tuition-2Yr'!V53+'State Appropriations-2Yr'!V53+'Local Appropriations-2Yr'!V53+'Fed Contracts Grnts-2Yr'!V53+'Other Contracts Grnts-2Yr'!V53+'Investment Income-2Yr'!V53+'All Other E&amp;G-2Yr'!V53</f>
        <v>0</v>
      </c>
      <c r="W53" s="90">
        <f>+'Tuition-2Yr'!W53+'State Appropriations-2Yr'!W53+'Local Appropriations-2Yr'!W53+'Fed Contracts Grnts-2Yr'!W53+'Other Contracts Grnts-2Yr'!W53+'Investment Income-2Yr'!W53+'All Other E&amp;G-2Yr'!W53</f>
        <v>0</v>
      </c>
      <c r="X53" s="90">
        <f>+'Tuition-2Yr'!X53+'State Appropriations-2Yr'!X53+'Local Appropriations-2Yr'!X53+'Fed Contracts Grnts-2Yr'!X53+'Other Contracts Grnts-2Yr'!X53+'Investment Income-2Yr'!X53+'All Other E&amp;G-2Yr'!X53</f>
        <v>0</v>
      </c>
      <c r="Y53" s="90">
        <f>+'Tuition-2Yr'!Y53+'State Appropriations-2Yr'!Y53+'Local Appropriations-2Yr'!Y53+'Fed Contracts Grnts-2Yr'!Y53+'Other Contracts Grnts-2Yr'!Y53+'Investment Income-2Yr'!Y53+'All Other E&amp;G-2Yr'!Y53</f>
        <v>0</v>
      </c>
      <c r="Z53" s="90">
        <f>+'Tuition-2Yr'!Z53+'State Appropriations-2Yr'!Z53+'Local Appropriations-2Yr'!Z53+'Fed Contracts Grnts-2Yr'!Z53+'Other Contracts Grnts-2Yr'!Z53+'Investment Income-2Yr'!Z53+'All Other E&amp;G-2Yr'!Z53</f>
        <v>0</v>
      </c>
      <c r="AA53" s="90">
        <f>+'Tuition-2Yr'!AA53+'State Appropriations-2Yr'!AA53+'Local Appropriations-2Yr'!AA53+'Fed Contracts Grnts-2Yr'!AA53+'Other Contracts Grnts-2Yr'!AA53+'Investment Income-2Yr'!AA53+'All Other E&amp;G-2Yr'!AA53</f>
        <v>0</v>
      </c>
      <c r="AB53" s="90">
        <f>+'Tuition-2Yr'!AB53+'State Appropriations-2Yr'!AB53+'Local Appropriations-2Yr'!AB53+'Fed Contracts Grnts-2Yr'!AB53+'Other Contracts Grnts-2Yr'!AB53+'Investment Income-2Yr'!AB53+'All Other E&amp;G-2Yr'!AB53</f>
        <v>0</v>
      </c>
      <c r="AC53" s="90">
        <f>+'Tuition-2Yr'!AC53+'State Appropriations-2Yr'!AC53+'Local Appropriations-2Yr'!AC53+'Fed Contracts Grnts-2Yr'!AC53+'Other Contracts Grnts-2Yr'!AC53+'Investment Income-2Yr'!AC53+'All Other E&amp;G-2Yr'!AC53</f>
        <v>0</v>
      </c>
      <c r="AD53" s="90">
        <f>+'Tuition-2Yr'!AD53+'State Appropriations-2Yr'!AD53+'Local Appropriations-2Yr'!AD53+'Fed Contracts Grnts-2Yr'!AD53+'Other Contracts Grnts-2Yr'!AD53+'Investment Income-2Yr'!AD53+'All Other E&amp;G-2Yr'!AD53</f>
        <v>0</v>
      </c>
      <c r="AE53" s="90">
        <f>+'Tuition-2Yr'!AE53+'State Appropriations-2Yr'!AE53+'Local Appropriations-2Yr'!AE53+'Fed Contracts Grnts-2Yr'!AE53+'Other Contracts Grnts-2Yr'!AE53+'Investment Income-2Yr'!AE53+'All Other E&amp;G-2Yr'!AE53</f>
        <v>0</v>
      </c>
      <c r="AF53" s="90">
        <f>+'Tuition-2Yr'!AF53+'State Appropriations-2Yr'!AF53+'Local Appropriations-2Yr'!AF53+'Fed Contracts Grnts-2Yr'!AF53+'Other Contracts Grnts-2Yr'!AF53+'Investment Income-2Yr'!AF53+'All Other E&amp;G-2Yr'!AF53</f>
        <v>0</v>
      </c>
      <c r="AG53" s="90">
        <f>+'Tuition-2Yr'!AG53+'State Appropriations-2Yr'!AG53+'Local Appropriations-2Yr'!AG53+'Fed Contracts Grnts-2Yr'!AG53+'Other Contracts Grnts-2Yr'!AG53+'Investment Income-2Yr'!AG53+'All Other E&amp;G-2Yr'!AG53</f>
        <v>0</v>
      </c>
      <c r="AH53" s="90">
        <f>+'Tuition-2Yr'!AH53+'State Appropriations-2Yr'!AH53+'Local Appropriations-2Yr'!AH53+'Fed Contracts Grnts-2Yr'!AH53+'Other Contracts Grnts-2Yr'!AH53+'Investment Income-2Yr'!AH53+'All Other E&amp;G-2Yr'!AH53</f>
        <v>0</v>
      </c>
      <c r="AI53" s="90">
        <f>+'Tuition-2Yr'!AI53+'State Appropriations-2Yr'!AI53+'Local Appropriations-2Yr'!AI53+'Fed Contracts Grnts-2Yr'!AI53+'Other Contracts Grnts-2Yr'!AI53+'Investment Income-2Yr'!AI53+'All Other E&amp;G-2Yr'!AI53</f>
        <v>0</v>
      </c>
      <c r="AJ53" s="90">
        <f>+'Tuition-2Yr'!AJ53+'State Appropriations-2Yr'!AJ53+'Local Appropriations-2Yr'!AJ53+'Fed Contracts Grnts-2Yr'!AJ53+'Other Contracts Grnts-2Yr'!AJ53+'Investment Income-2Yr'!AJ53+'All Other E&amp;G-2Yr'!AJ53</f>
        <v>0</v>
      </c>
      <c r="AK53" s="90">
        <f>+'Tuition-2Yr'!AK53+'State Appropriations-2Yr'!AK53+'Local Appropriations-2Yr'!AK53+'Fed Contracts Grnts-2Yr'!AK53+'Other Contracts Grnts-2Yr'!AK53+'Investment Income-2Yr'!AK53+'All Other E&amp;G-2Yr'!AK53</f>
        <v>0</v>
      </c>
    </row>
    <row r="54" spans="1:37" ht="12.75" customHeight="1">
      <c r="A54" s="1" t="s">
        <v>65</v>
      </c>
      <c r="B54" s="90">
        <f>+'Tuition-2Yr'!B54+'State Appropriations-2Yr'!B54+'Local Appropriations-2Yr'!B54+'Fed Contracts Grnts-2Yr'!B54+'Other Contracts Grnts-2Yr'!B54+'Investment Income-2Yr'!B54+'All Other E&amp;G-2Yr'!B54</f>
        <v>0</v>
      </c>
      <c r="C54" s="90">
        <f>+'Tuition-2Yr'!C54+'State Appropriations-2Yr'!C54+'Local Appropriations-2Yr'!C54+'Fed Contracts Grnts-2Yr'!C54+'Other Contracts Grnts-2Yr'!C54+'Investment Income-2Yr'!C54+'All Other E&amp;G-2Yr'!C54</f>
        <v>0</v>
      </c>
      <c r="D54" s="90">
        <f>+'Tuition-2Yr'!D54+'State Appropriations-2Yr'!D54+'Local Appropriations-2Yr'!D54+'Fed Contracts Grnts-2Yr'!D54+'Other Contracts Grnts-2Yr'!D54+'Investment Income-2Yr'!D54+'All Other E&amp;G-2Yr'!D54</f>
        <v>0</v>
      </c>
      <c r="E54" s="90">
        <f>+'Tuition-2Yr'!E54+'State Appropriations-2Yr'!E54+'Local Appropriations-2Yr'!E54+'Fed Contracts Grnts-2Yr'!E54+'Other Contracts Grnts-2Yr'!E54+'Investment Income-2Yr'!E54+'All Other E&amp;G-2Yr'!E54</f>
        <v>0</v>
      </c>
      <c r="F54" s="90">
        <f>+'Tuition-2Yr'!F54+'State Appropriations-2Yr'!F54+'Local Appropriations-2Yr'!F54+'Fed Contracts Grnts-2Yr'!F54+'Other Contracts Grnts-2Yr'!F54+'Investment Income-2Yr'!F54+'All Other E&amp;G-2Yr'!F54</f>
        <v>0</v>
      </c>
      <c r="G54" s="90">
        <f>+'Tuition-2Yr'!G54+'State Appropriations-2Yr'!G54+'Local Appropriations-2Yr'!G54+'Fed Contracts Grnts-2Yr'!G54+'Other Contracts Grnts-2Yr'!G54+'Investment Income-2Yr'!G54+'All Other E&amp;G-2Yr'!G54</f>
        <v>0</v>
      </c>
      <c r="H54" s="90">
        <f>+'Tuition-2Yr'!H54+'State Appropriations-2Yr'!H54+'Local Appropriations-2Yr'!H54+'Fed Contracts Grnts-2Yr'!H54+'Other Contracts Grnts-2Yr'!H54+'Investment Income-2Yr'!H54+'All Other E&amp;G-2Yr'!H54</f>
        <v>0</v>
      </c>
      <c r="I54" s="90">
        <f>+'Tuition-2Yr'!I54+'State Appropriations-2Yr'!I54+'Local Appropriations-2Yr'!I54+'Fed Contracts Grnts-2Yr'!I54+'Other Contracts Grnts-2Yr'!I54+'Investment Income-2Yr'!I54+'All Other E&amp;G-2Yr'!I54</f>
        <v>0</v>
      </c>
      <c r="J54" s="90">
        <f>+'Tuition-2Yr'!J54+'State Appropriations-2Yr'!J54+'Local Appropriations-2Yr'!J54+'Fed Contracts Grnts-2Yr'!J54+'Other Contracts Grnts-2Yr'!J54+'Investment Income-2Yr'!J54+'All Other E&amp;G-2Yr'!J54</f>
        <v>129748.56000000001</v>
      </c>
      <c r="K54" s="90">
        <f>+'Tuition-2Yr'!K54+'State Appropriations-2Yr'!K54+'Local Appropriations-2Yr'!K54+'Fed Contracts Grnts-2Yr'!K54+'Other Contracts Grnts-2Yr'!K54+'Investment Income-2Yr'!K54+'All Other E&amp;G-2Yr'!K54</f>
        <v>0</v>
      </c>
      <c r="L54" s="90">
        <f>+'Tuition-2Yr'!L54+'State Appropriations-2Yr'!L54+'Local Appropriations-2Yr'!L54+'Fed Contracts Grnts-2Yr'!L54+'Other Contracts Grnts-2Yr'!L54+'Investment Income-2Yr'!L54+'All Other E&amp;G-2Yr'!L54</f>
        <v>0</v>
      </c>
      <c r="M54" s="90">
        <f>+'Tuition-2Yr'!M54+'State Appropriations-2Yr'!M54+'Local Appropriations-2Yr'!M54+'Fed Contracts Grnts-2Yr'!M54+'Other Contracts Grnts-2Yr'!M54+'Investment Income-2Yr'!M54+'All Other E&amp;G-2Yr'!M54</f>
        <v>151822.14600000001</v>
      </c>
      <c r="N54" s="90">
        <f>+'Tuition-2Yr'!N54+'State Appropriations-2Yr'!N54+'Local Appropriations-2Yr'!N54+'Fed Contracts Grnts-2Yr'!N54+'Other Contracts Grnts-2Yr'!N54+'Investment Income-2Yr'!N54+'All Other E&amp;G-2Yr'!N54</f>
        <v>0</v>
      </c>
      <c r="O54" s="90">
        <f>+'Tuition-2Yr'!O54+'State Appropriations-2Yr'!O54+'Local Appropriations-2Yr'!O54+'Fed Contracts Grnts-2Yr'!O54+'Other Contracts Grnts-2Yr'!O54+'Investment Income-2Yr'!O54+'All Other E&amp;G-2Yr'!O54</f>
        <v>207197.01521000001</v>
      </c>
      <c r="P54" s="90">
        <f>+'Tuition-2Yr'!P54+'State Appropriations-2Yr'!P54+'Local Appropriations-2Yr'!P54+'Fed Contracts Grnts-2Yr'!P54+'Other Contracts Grnts-2Yr'!P54+'Investment Income-2Yr'!P54+'All Other E&amp;G-2Yr'!P54</f>
        <v>0</v>
      </c>
      <c r="Q54" s="90">
        <f>+'Tuition-2Yr'!Q54+'State Appropriations-2Yr'!Q54+'Local Appropriations-2Yr'!Q54+'Fed Contracts Grnts-2Yr'!Q54+'Other Contracts Grnts-2Yr'!Q54+'Investment Income-2Yr'!Q54+'All Other E&amp;G-2Yr'!Q54</f>
        <v>0</v>
      </c>
      <c r="R54" s="90">
        <f>+'Tuition-2Yr'!R54+'State Appropriations-2Yr'!R54+'Local Appropriations-2Yr'!R54+'Fed Contracts Grnts-2Yr'!R54+'Other Contracts Grnts-2Yr'!R54+'Investment Income-2Yr'!R54+'All Other E&amp;G-2Yr'!R54</f>
        <v>229966.80300000001</v>
      </c>
      <c r="S54" s="90">
        <f>+'Tuition-2Yr'!S54+'State Appropriations-2Yr'!S54+'Local Appropriations-2Yr'!S54+'Fed Contracts Grnts-2Yr'!S54+'Other Contracts Grnts-2Yr'!S54+'Investment Income-2Yr'!S54+'All Other E&amp;G-2Yr'!S54</f>
        <v>244351.212</v>
      </c>
      <c r="T54" s="90">
        <f>+'Tuition-2Yr'!T54+'State Appropriations-2Yr'!T54+'Local Appropriations-2Yr'!T54+'Fed Contracts Grnts-2Yr'!T54+'Other Contracts Grnts-2Yr'!T54+'Investment Income-2Yr'!T54+'All Other E&amp;G-2Yr'!T54</f>
        <v>303874.04400000005</v>
      </c>
      <c r="U54" s="90">
        <f>+'Tuition-2Yr'!U54+'State Appropriations-2Yr'!U54+'Local Appropriations-2Yr'!U54+'Fed Contracts Grnts-2Yr'!U54+'Other Contracts Grnts-2Yr'!U54+'Investment Income-2Yr'!U54+'All Other E&amp;G-2Yr'!U54</f>
        <v>275121.23699999996</v>
      </c>
      <c r="V54" s="90">
        <f>+'Tuition-2Yr'!V54+'State Appropriations-2Yr'!V54+'Local Appropriations-2Yr'!V54+'Fed Contracts Grnts-2Yr'!V54+'Other Contracts Grnts-2Yr'!V54+'Investment Income-2Yr'!V54+'All Other E&amp;G-2Yr'!V54</f>
        <v>292922.94199999998</v>
      </c>
      <c r="W54" s="90">
        <f>+'Tuition-2Yr'!W54+'State Appropriations-2Yr'!W54+'Local Appropriations-2Yr'!W54+'Fed Contracts Grnts-2Yr'!W54+'Other Contracts Grnts-2Yr'!W54+'Investment Income-2Yr'!W54+'All Other E&amp;G-2Yr'!W54</f>
        <v>326359.80999999994</v>
      </c>
      <c r="X54" s="90">
        <f>+'Tuition-2Yr'!X54+'State Appropriations-2Yr'!X54+'Local Appropriations-2Yr'!X54+'Fed Contracts Grnts-2Yr'!X54+'Other Contracts Grnts-2Yr'!X54+'Investment Income-2Yr'!X54+'All Other E&amp;G-2Yr'!X54</f>
        <v>319897.09999999998</v>
      </c>
      <c r="Y54" s="90">
        <f>+'Tuition-2Yr'!Y54+'State Appropriations-2Yr'!Y54+'Local Appropriations-2Yr'!Y54+'Fed Contracts Grnts-2Yr'!Y54+'Other Contracts Grnts-2Yr'!Y54+'Investment Income-2Yr'!Y54+'All Other E&amp;G-2Yr'!Y54</f>
        <v>351406.61100000003</v>
      </c>
      <c r="Z54" s="90">
        <f>+'Tuition-2Yr'!Z54+'State Appropriations-2Yr'!Z54+'Local Appropriations-2Yr'!Z54+'Fed Contracts Grnts-2Yr'!Z54+'Other Contracts Grnts-2Yr'!Z54+'Investment Income-2Yr'!Z54+'All Other E&amp;G-2Yr'!Z54</f>
        <v>375749.38199999993</v>
      </c>
      <c r="AA54" s="90">
        <f>+'Tuition-2Yr'!AA54+'State Appropriations-2Yr'!AA54+'Local Appropriations-2Yr'!AA54+'Fed Contracts Grnts-2Yr'!AA54+'Other Contracts Grnts-2Yr'!AA54+'Investment Income-2Yr'!AA54+'All Other E&amp;G-2Yr'!AA54</f>
        <v>438847.38999999996</v>
      </c>
      <c r="AB54" s="90">
        <f>+'Tuition-2Yr'!AB54+'State Appropriations-2Yr'!AB54+'Local Appropriations-2Yr'!AB54+'Fed Contracts Grnts-2Yr'!AB54+'Other Contracts Grnts-2Yr'!AB54+'Investment Income-2Yr'!AB54+'All Other E&amp;G-2Yr'!AB54</f>
        <v>480979.38199999998</v>
      </c>
      <c r="AC54" s="90">
        <f>+'Tuition-2Yr'!AC54+'State Appropriations-2Yr'!AC54+'Local Appropriations-2Yr'!AC54+'Fed Contracts Grnts-2Yr'!AC54+'Other Contracts Grnts-2Yr'!AC54+'Investment Income-2Yr'!AC54+'All Other E&amp;G-2Yr'!AC54</f>
        <v>508383</v>
      </c>
      <c r="AD54" s="90">
        <f>+'Tuition-2Yr'!AD54+'State Appropriations-2Yr'!AD54+'Local Appropriations-2Yr'!AD54+'Fed Contracts Grnts-2Yr'!AD54+'Other Contracts Grnts-2Yr'!AD54+'Investment Income-2Yr'!AD54+'All Other E&amp;G-2Yr'!AD54</f>
        <v>493797.37899999996</v>
      </c>
      <c r="AE54" s="90">
        <f>+'Tuition-2Yr'!AE54+'State Appropriations-2Yr'!AE54+'Local Appropriations-2Yr'!AE54+'Fed Contracts Grnts-2Yr'!AE54+'Other Contracts Grnts-2Yr'!AE54+'Investment Income-2Yr'!AE54+'All Other E&amp;G-2Yr'!AE54</f>
        <v>520755.34599999996</v>
      </c>
      <c r="AF54" s="90">
        <f>+'Tuition-2Yr'!AF54+'State Appropriations-2Yr'!AF54+'Local Appropriations-2Yr'!AF54+'Fed Contracts Grnts-2Yr'!AF54+'Other Contracts Grnts-2Yr'!AF54+'Investment Income-2Yr'!AF54+'All Other E&amp;G-2Yr'!AF54</f>
        <v>535661.86700000009</v>
      </c>
      <c r="AG54" s="90">
        <f>+'Tuition-2Yr'!AG54+'State Appropriations-2Yr'!AG54+'Local Appropriations-2Yr'!AG54+'Fed Contracts Grnts-2Yr'!AG54+'Other Contracts Grnts-2Yr'!AG54+'Investment Income-2Yr'!AG54+'All Other E&amp;G-2Yr'!AG54</f>
        <v>560042.73600000003</v>
      </c>
      <c r="AH54" s="90">
        <f>+'Tuition-2Yr'!AH54+'State Appropriations-2Yr'!AH54+'Local Appropriations-2Yr'!AH54+'Fed Contracts Grnts-2Yr'!AH54+'Other Contracts Grnts-2Yr'!AH54+'Investment Income-2Yr'!AH54+'All Other E&amp;G-2Yr'!AH54</f>
        <v>573127.79</v>
      </c>
      <c r="AI54" s="90">
        <f>+'Tuition-2Yr'!AI54+'State Appropriations-2Yr'!AI54+'Local Appropriations-2Yr'!AI54+'Fed Contracts Grnts-2Yr'!AI54+'Other Contracts Grnts-2Yr'!AI54+'Investment Income-2Yr'!AI54+'All Other E&amp;G-2Yr'!AI54</f>
        <v>562314.16199999989</v>
      </c>
      <c r="AJ54" s="90">
        <f>+'Tuition-2Yr'!AJ54+'State Appropriations-2Yr'!AJ54+'Local Appropriations-2Yr'!AJ54+'Fed Contracts Grnts-2Yr'!AJ54+'Other Contracts Grnts-2Yr'!AJ54+'Investment Income-2Yr'!AJ54+'All Other E&amp;G-2Yr'!AJ54</f>
        <v>0</v>
      </c>
      <c r="AK54" s="90">
        <f>+'Tuition-2Yr'!AK54+'State Appropriations-2Yr'!AK54+'Local Appropriations-2Yr'!AK54+'Fed Contracts Grnts-2Yr'!AK54+'Other Contracts Grnts-2Yr'!AK54+'Investment Income-2Yr'!AK54+'All Other E&amp;G-2Yr'!AK54</f>
        <v>587610.27099999995</v>
      </c>
    </row>
    <row r="55" spans="1:37" ht="12.75" customHeight="1">
      <c r="A55" s="1" t="s">
        <v>66</v>
      </c>
      <c r="B55" s="90">
        <f>+'Tuition-2Yr'!B55+'State Appropriations-2Yr'!B55+'Local Appropriations-2Yr'!B55+'Fed Contracts Grnts-2Yr'!B55+'Other Contracts Grnts-2Yr'!B55+'Investment Income-2Yr'!B55+'All Other E&amp;G-2Yr'!B55</f>
        <v>0</v>
      </c>
      <c r="C55" s="90">
        <f>+'Tuition-2Yr'!C55+'State Appropriations-2Yr'!C55+'Local Appropriations-2Yr'!C55+'Fed Contracts Grnts-2Yr'!C55+'Other Contracts Grnts-2Yr'!C55+'Investment Income-2Yr'!C55+'All Other E&amp;G-2Yr'!C55</f>
        <v>0</v>
      </c>
      <c r="D55" s="90">
        <f>+'Tuition-2Yr'!D55+'State Appropriations-2Yr'!D55+'Local Appropriations-2Yr'!D55+'Fed Contracts Grnts-2Yr'!D55+'Other Contracts Grnts-2Yr'!D55+'Investment Income-2Yr'!D55+'All Other E&amp;G-2Yr'!D55</f>
        <v>0</v>
      </c>
      <c r="E55" s="90">
        <f>+'Tuition-2Yr'!E55+'State Appropriations-2Yr'!E55+'Local Appropriations-2Yr'!E55+'Fed Contracts Grnts-2Yr'!E55+'Other Contracts Grnts-2Yr'!E55+'Investment Income-2Yr'!E55+'All Other E&amp;G-2Yr'!E55</f>
        <v>0</v>
      </c>
      <c r="F55" s="90">
        <f>+'Tuition-2Yr'!F55+'State Appropriations-2Yr'!F55+'Local Appropriations-2Yr'!F55+'Fed Contracts Grnts-2Yr'!F55+'Other Contracts Grnts-2Yr'!F55+'Investment Income-2Yr'!F55+'All Other E&amp;G-2Yr'!F55</f>
        <v>0</v>
      </c>
      <c r="G55" s="90">
        <f>+'Tuition-2Yr'!G55+'State Appropriations-2Yr'!G55+'Local Appropriations-2Yr'!G55+'Fed Contracts Grnts-2Yr'!G55+'Other Contracts Grnts-2Yr'!G55+'Investment Income-2Yr'!G55+'All Other E&amp;G-2Yr'!G55</f>
        <v>0</v>
      </c>
      <c r="H55" s="90">
        <f>+'Tuition-2Yr'!H55+'State Appropriations-2Yr'!H55+'Local Appropriations-2Yr'!H55+'Fed Contracts Grnts-2Yr'!H55+'Other Contracts Grnts-2Yr'!H55+'Investment Income-2Yr'!H55+'All Other E&amp;G-2Yr'!H55</f>
        <v>0</v>
      </c>
      <c r="I55" s="90">
        <f>+'Tuition-2Yr'!I55+'State Appropriations-2Yr'!I55+'Local Appropriations-2Yr'!I55+'Fed Contracts Grnts-2Yr'!I55+'Other Contracts Grnts-2Yr'!I55+'Investment Income-2Yr'!I55+'All Other E&amp;G-2Yr'!I55</f>
        <v>0</v>
      </c>
      <c r="J55" s="90">
        <f>+'Tuition-2Yr'!J55+'State Appropriations-2Yr'!J55+'Local Appropriations-2Yr'!J55+'Fed Contracts Grnts-2Yr'!J55+'Other Contracts Grnts-2Yr'!J55+'Investment Income-2Yr'!J55+'All Other E&amp;G-2Yr'!J55</f>
        <v>38745.027999999998</v>
      </c>
      <c r="K55" s="90">
        <f>+'Tuition-2Yr'!K55+'State Appropriations-2Yr'!K55+'Local Appropriations-2Yr'!K55+'Fed Contracts Grnts-2Yr'!K55+'Other Contracts Grnts-2Yr'!K55+'Investment Income-2Yr'!K55+'All Other E&amp;G-2Yr'!K55</f>
        <v>0</v>
      </c>
      <c r="L55" s="90">
        <f>+'Tuition-2Yr'!L55+'State Appropriations-2Yr'!L55+'Local Appropriations-2Yr'!L55+'Fed Contracts Grnts-2Yr'!L55+'Other Contracts Grnts-2Yr'!L55+'Investment Income-2Yr'!L55+'All Other E&amp;G-2Yr'!L55</f>
        <v>0</v>
      </c>
      <c r="M55" s="90">
        <f>+'Tuition-2Yr'!M55+'State Appropriations-2Yr'!M55+'Local Appropriations-2Yr'!M55+'Fed Contracts Grnts-2Yr'!M55+'Other Contracts Grnts-2Yr'!M55+'Investment Income-2Yr'!M55+'All Other E&amp;G-2Yr'!M55</f>
        <v>43591.615000000005</v>
      </c>
      <c r="N55" s="90">
        <f>+'Tuition-2Yr'!N55+'State Appropriations-2Yr'!N55+'Local Appropriations-2Yr'!N55+'Fed Contracts Grnts-2Yr'!N55+'Other Contracts Grnts-2Yr'!N55+'Investment Income-2Yr'!N55+'All Other E&amp;G-2Yr'!N55</f>
        <v>0</v>
      </c>
      <c r="O55" s="90">
        <f>+'Tuition-2Yr'!O55+'State Appropriations-2Yr'!O55+'Local Appropriations-2Yr'!O55+'Fed Contracts Grnts-2Yr'!O55+'Other Contracts Grnts-2Yr'!O55+'Investment Income-2Yr'!O55+'All Other E&amp;G-2Yr'!O55</f>
        <v>48899.395000000004</v>
      </c>
      <c r="P55" s="90">
        <f>+'Tuition-2Yr'!P55+'State Appropriations-2Yr'!P55+'Local Appropriations-2Yr'!P55+'Fed Contracts Grnts-2Yr'!P55+'Other Contracts Grnts-2Yr'!P55+'Investment Income-2Yr'!P55+'All Other E&amp;G-2Yr'!P55</f>
        <v>0</v>
      </c>
      <c r="Q55" s="90">
        <f>+'Tuition-2Yr'!Q55+'State Appropriations-2Yr'!Q55+'Local Appropriations-2Yr'!Q55+'Fed Contracts Grnts-2Yr'!Q55+'Other Contracts Grnts-2Yr'!Q55+'Investment Income-2Yr'!Q55+'All Other E&amp;G-2Yr'!Q55</f>
        <v>0</v>
      </c>
      <c r="R55" s="90">
        <f>+'Tuition-2Yr'!R55+'State Appropriations-2Yr'!R55+'Local Appropriations-2Yr'!R55+'Fed Contracts Grnts-2Yr'!R55+'Other Contracts Grnts-2Yr'!R55+'Investment Income-2Yr'!R55+'All Other E&amp;G-2Yr'!R55</f>
        <v>60051.006999999991</v>
      </c>
      <c r="S55" s="90">
        <f>+'Tuition-2Yr'!S55+'State Appropriations-2Yr'!S55+'Local Appropriations-2Yr'!S55+'Fed Contracts Grnts-2Yr'!S55+'Other Contracts Grnts-2Yr'!S55+'Investment Income-2Yr'!S55+'All Other E&amp;G-2Yr'!S55</f>
        <v>65422.707000000002</v>
      </c>
      <c r="T55" s="90">
        <f>+'Tuition-2Yr'!T55+'State Appropriations-2Yr'!T55+'Local Appropriations-2Yr'!T55+'Fed Contracts Grnts-2Yr'!T55+'Other Contracts Grnts-2Yr'!T55+'Investment Income-2Yr'!T55+'All Other E&amp;G-2Yr'!T55</f>
        <v>85124.067999999999</v>
      </c>
      <c r="U55" s="90">
        <f>+'Tuition-2Yr'!U55+'State Appropriations-2Yr'!U55+'Local Appropriations-2Yr'!U55+'Fed Contracts Grnts-2Yr'!U55+'Other Contracts Grnts-2Yr'!U55+'Investment Income-2Yr'!U55+'All Other E&amp;G-2Yr'!U55</f>
        <v>76192.025000000009</v>
      </c>
      <c r="V55" s="90">
        <f>+'Tuition-2Yr'!V55+'State Appropriations-2Yr'!V55+'Local Appropriations-2Yr'!V55+'Fed Contracts Grnts-2Yr'!V55+'Other Contracts Grnts-2Yr'!V55+'Investment Income-2Yr'!V55+'All Other E&amp;G-2Yr'!V55</f>
        <v>83019.364999999991</v>
      </c>
      <c r="W55" s="90">
        <f>+'Tuition-2Yr'!W55+'State Appropriations-2Yr'!W55+'Local Appropriations-2Yr'!W55+'Fed Contracts Grnts-2Yr'!W55+'Other Contracts Grnts-2Yr'!W55+'Investment Income-2Yr'!W55+'All Other E&amp;G-2Yr'!W55</f>
        <v>96398.494000000006</v>
      </c>
      <c r="X55" s="90">
        <f>+'Tuition-2Yr'!X55+'State Appropriations-2Yr'!X55+'Local Appropriations-2Yr'!X55+'Fed Contracts Grnts-2Yr'!X55+'Other Contracts Grnts-2Yr'!X55+'Investment Income-2Yr'!X55+'All Other E&amp;G-2Yr'!X55</f>
        <v>87569.334000000017</v>
      </c>
      <c r="Y55" s="90">
        <f>+'Tuition-2Yr'!Y55+'State Appropriations-2Yr'!Y55+'Local Appropriations-2Yr'!Y55+'Fed Contracts Grnts-2Yr'!Y55+'Other Contracts Grnts-2Yr'!Y55+'Investment Income-2Yr'!Y55+'All Other E&amp;G-2Yr'!Y55</f>
        <v>89918.274000000005</v>
      </c>
      <c r="Z55" s="90">
        <f>+'Tuition-2Yr'!Z55+'State Appropriations-2Yr'!Z55+'Local Appropriations-2Yr'!Z55+'Fed Contracts Grnts-2Yr'!Z55+'Other Contracts Grnts-2Yr'!Z55+'Investment Income-2Yr'!Z55+'All Other E&amp;G-2Yr'!Z55</f>
        <v>99607.180999999997</v>
      </c>
      <c r="AA55" s="90">
        <f>+'Tuition-2Yr'!AA55+'State Appropriations-2Yr'!AA55+'Local Appropriations-2Yr'!AA55+'Fed Contracts Grnts-2Yr'!AA55+'Other Contracts Grnts-2Yr'!AA55+'Investment Income-2Yr'!AA55+'All Other E&amp;G-2Yr'!AA55</f>
        <v>115748.45299999999</v>
      </c>
      <c r="AB55" s="90">
        <f>+'Tuition-2Yr'!AB55+'State Appropriations-2Yr'!AB55+'Local Appropriations-2Yr'!AB55+'Fed Contracts Grnts-2Yr'!AB55+'Other Contracts Grnts-2Yr'!AB55+'Investment Income-2Yr'!AB55+'All Other E&amp;G-2Yr'!AB55</f>
        <v>136506.96299999996</v>
      </c>
      <c r="AC55" s="90">
        <f>+'Tuition-2Yr'!AC55+'State Appropriations-2Yr'!AC55+'Local Appropriations-2Yr'!AC55+'Fed Contracts Grnts-2Yr'!AC55+'Other Contracts Grnts-2Yr'!AC55+'Investment Income-2Yr'!AC55+'All Other E&amp;G-2Yr'!AC55</f>
        <v>147637</v>
      </c>
      <c r="AD55" s="90">
        <f>+'Tuition-2Yr'!AD55+'State Appropriations-2Yr'!AD55+'Local Appropriations-2Yr'!AD55+'Fed Contracts Grnts-2Yr'!AD55+'Other Contracts Grnts-2Yr'!AD55+'Investment Income-2Yr'!AD55+'All Other E&amp;G-2Yr'!AD55</f>
        <v>158900.723</v>
      </c>
      <c r="AE55" s="90">
        <f>+'Tuition-2Yr'!AE55+'State Appropriations-2Yr'!AE55+'Local Appropriations-2Yr'!AE55+'Fed Contracts Grnts-2Yr'!AE55+'Other Contracts Grnts-2Yr'!AE55+'Investment Income-2Yr'!AE55+'All Other E&amp;G-2Yr'!AE55</f>
        <v>163810.80299999999</v>
      </c>
      <c r="AF55" s="90">
        <f>+'Tuition-2Yr'!AF55+'State Appropriations-2Yr'!AF55+'Local Appropriations-2Yr'!AF55+'Fed Contracts Grnts-2Yr'!AF55+'Other Contracts Grnts-2Yr'!AF55+'Investment Income-2Yr'!AF55+'All Other E&amp;G-2Yr'!AF55</f>
        <v>156678.53900000002</v>
      </c>
      <c r="AG55" s="90">
        <f>+'Tuition-2Yr'!AG55+'State Appropriations-2Yr'!AG55+'Local Appropriations-2Yr'!AG55+'Fed Contracts Grnts-2Yr'!AG55+'Other Contracts Grnts-2Yr'!AG55+'Investment Income-2Yr'!AG55+'All Other E&amp;G-2Yr'!AG55</f>
        <v>160253.83899999998</v>
      </c>
      <c r="AH55" s="90">
        <f>+'Tuition-2Yr'!AH55+'State Appropriations-2Yr'!AH55+'Local Appropriations-2Yr'!AH55+'Fed Contracts Grnts-2Yr'!AH55+'Other Contracts Grnts-2Yr'!AH55+'Investment Income-2Yr'!AH55+'All Other E&amp;G-2Yr'!AH55</f>
        <v>148648.61300000001</v>
      </c>
      <c r="AI55" s="90">
        <f>+'Tuition-2Yr'!AI55+'State Appropriations-2Yr'!AI55+'Local Appropriations-2Yr'!AI55+'Fed Contracts Grnts-2Yr'!AI55+'Other Contracts Grnts-2Yr'!AI55+'Investment Income-2Yr'!AI55+'All Other E&amp;G-2Yr'!AI55</f>
        <v>151288.565</v>
      </c>
      <c r="AJ55" s="90">
        <f>+'Tuition-2Yr'!AJ55+'State Appropriations-2Yr'!AJ55+'Local Appropriations-2Yr'!AJ55+'Fed Contracts Grnts-2Yr'!AJ55+'Other Contracts Grnts-2Yr'!AJ55+'Investment Income-2Yr'!AJ55+'All Other E&amp;G-2Yr'!AJ55</f>
        <v>0</v>
      </c>
      <c r="AK55" s="90">
        <f>+'Tuition-2Yr'!AK55+'State Appropriations-2Yr'!AK55+'Local Appropriations-2Yr'!AK55+'Fed Contracts Grnts-2Yr'!AK55+'Other Contracts Grnts-2Yr'!AK55+'Investment Income-2Yr'!AK55+'All Other E&amp;G-2Yr'!AK55</f>
        <v>168926.85699999999</v>
      </c>
    </row>
    <row r="56" spans="1:37" ht="12.75" customHeight="1">
      <c r="A56" s="1" t="s">
        <v>67</v>
      </c>
      <c r="B56" s="90">
        <f>+'Tuition-2Yr'!B56+'State Appropriations-2Yr'!B56+'Local Appropriations-2Yr'!B56+'Fed Contracts Grnts-2Yr'!B56+'Other Contracts Grnts-2Yr'!B56+'Investment Income-2Yr'!B56+'All Other E&amp;G-2Yr'!B56</f>
        <v>0</v>
      </c>
      <c r="C56" s="90">
        <f>+'Tuition-2Yr'!C56+'State Appropriations-2Yr'!C56+'Local Appropriations-2Yr'!C56+'Fed Contracts Grnts-2Yr'!C56+'Other Contracts Grnts-2Yr'!C56+'Investment Income-2Yr'!C56+'All Other E&amp;G-2Yr'!C56</f>
        <v>0</v>
      </c>
      <c r="D56" s="90">
        <f>+'Tuition-2Yr'!D56+'State Appropriations-2Yr'!D56+'Local Appropriations-2Yr'!D56+'Fed Contracts Grnts-2Yr'!D56+'Other Contracts Grnts-2Yr'!D56+'Investment Income-2Yr'!D56+'All Other E&amp;G-2Yr'!D56</f>
        <v>0</v>
      </c>
      <c r="E56" s="90">
        <f>+'Tuition-2Yr'!E56+'State Appropriations-2Yr'!E56+'Local Appropriations-2Yr'!E56+'Fed Contracts Grnts-2Yr'!E56+'Other Contracts Grnts-2Yr'!E56+'Investment Income-2Yr'!E56+'All Other E&amp;G-2Yr'!E56</f>
        <v>0</v>
      </c>
      <c r="F56" s="90">
        <f>+'Tuition-2Yr'!F56+'State Appropriations-2Yr'!F56+'Local Appropriations-2Yr'!F56+'Fed Contracts Grnts-2Yr'!F56+'Other Contracts Grnts-2Yr'!F56+'Investment Income-2Yr'!F56+'All Other E&amp;G-2Yr'!F56</f>
        <v>0</v>
      </c>
      <c r="G56" s="90">
        <f>+'Tuition-2Yr'!G56+'State Appropriations-2Yr'!G56+'Local Appropriations-2Yr'!G56+'Fed Contracts Grnts-2Yr'!G56+'Other Contracts Grnts-2Yr'!G56+'Investment Income-2Yr'!G56+'All Other E&amp;G-2Yr'!G56</f>
        <v>0</v>
      </c>
      <c r="H56" s="90">
        <f>+'Tuition-2Yr'!H56+'State Appropriations-2Yr'!H56+'Local Appropriations-2Yr'!H56+'Fed Contracts Grnts-2Yr'!H56+'Other Contracts Grnts-2Yr'!H56+'Investment Income-2Yr'!H56+'All Other E&amp;G-2Yr'!H56</f>
        <v>0</v>
      </c>
      <c r="I56" s="90">
        <f>+'Tuition-2Yr'!I56+'State Appropriations-2Yr'!I56+'Local Appropriations-2Yr'!I56+'Fed Contracts Grnts-2Yr'!I56+'Other Contracts Grnts-2Yr'!I56+'Investment Income-2Yr'!I56+'All Other E&amp;G-2Yr'!I56</f>
        <v>0</v>
      </c>
      <c r="J56" s="90">
        <f>+'Tuition-2Yr'!J56+'State Appropriations-2Yr'!J56+'Local Appropriations-2Yr'!J56+'Fed Contracts Grnts-2Yr'!J56+'Other Contracts Grnts-2Yr'!J56+'Investment Income-2Yr'!J56+'All Other E&amp;G-2Yr'!J56</f>
        <v>258765.28</v>
      </c>
      <c r="K56" s="90">
        <f>+'Tuition-2Yr'!K56+'State Appropriations-2Yr'!K56+'Local Appropriations-2Yr'!K56+'Fed Contracts Grnts-2Yr'!K56+'Other Contracts Grnts-2Yr'!K56+'Investment Income-2Yr'!K56+'All Other E&amp;G-2Yr'!K56</f>
        <v>0</v>
      </c>
      <c r="L56" s="90">
        <f>+'Tuition-2Yr'!L56+'State Appropriations-2Yr'!L56+'Local Appropriations-2Yr'!L56+'Fed Contracts Grnts-2Yr'!L56+'Other Contracts Grnts-2Yr'!L56+'Investment Income-2Yr'!L56+'All Other E&amp;G-2Yr'!L56</f>
        <v>0</v>
      </c>
      <c r="M56" s="90">
        <f>+'Tuition-2Yr'!M56+'State Appropriations-2Yr'!M56+'Local Appropriations-2Yr'!M56+'Fed Contracts Grnts-2Yr'!M56+'Other Contracts Grnts-2Yr'!M56+'Investment Income-2Yr'!M56+'All Other E&amp;G-2Yr'!M56</f>
        <v>351889.31300000002</v>
      </c>
      <c r="N56" s="90">
        <f>+'Tuition-2Yr'!N56+'State Appropriations-2Yr'!N56+'Local Appropriations-2Yr'!N56+'Fed Contracts Grnts-2Yr'!N56+'Other Contracts Grnts-2Yr'!N56+'Investment Income-2Yr'!N56+'All Other E&amp;G-2Yr'!N56</f>
        <v>0</v>
      </c>
      <c r="O56" s="90">
        <f>+'Tuition-2Yr'!O56+'State Appropriations-2Yr'!O56+'Local Appropriations-2Yr'!O56+'Fed Contracts Grnts-2Yr'!O56+'Other Contracts Grnts-2Yr'!O56+'Investment Income-2Yr'!O56+'All Other E&amp;G-2Yr'!O56</f>
        <v>396819.44100000005</v>
      </c>
      <c r="P56" s="90">
        <f>+'Tuition-2Yr'!P56+'State Appropriations-2Yr'!P56+'Local Appropriations-2Yr'!P56+'Fed Contracts Grnts-2Yr'!P56+'Other Contracts Grnts-2Yr'!P56+'Investment Income-2Yr'!P56+'All Other E&amp;G-2Yr'!P56</f>
        <v>0</v>
      </c>
      <c r="Q56" s="90">
        <f>+'Tuition-2Yr'!Q56+'State Appropriations-2Yr'!Q56+'Local Appropriations-2Yr'!Q56+'Fed Contracts Grnts-2Yr'!Q56+'Other Contracts Grnts-2Yr'!Q56+'Investment Income-2Yr'!Q56+'All Other E&amp;G-2Yr'!Q56</f>
        <v>0</v>
      </c>
      <c r="R56" s="90">
        <f>+'Tuition-2Yr'!R56+'State Appropriations-2Yr'!R56+'Local Appropriations-2Yr'!R56+'Fed Contracts Grnts-2Yr'!R56+'Other Contracts Grnts-2Yr'!R56+'Investment Income-2Yr'!R56+'All Other E&amp;G-2Yr'!R56</f>
        <v>487176.34099999996</v>
      </c>
      <c r="S56" s="90">
        <f>+'Tuition-2Yr'!S56+'State Appropriations-2Yr'!S56+'Local Appropriations-2Yr'!S56+'Fed Contracts Grnts-2Yr'!S56+'Other Contracts Grnts-2Yr'!S56+'Investment Income-2Yr'!S56+'All Other E&amp;G-2Yr'!S56</f>
        <v>539753.67600000009</v>
      </c>
      <c r="T56" s="90">
        <f>+'Tuition-2Yr'!T56+'State Appropriations-2Yr'!T56+'Local Appropriations-2Yr'!T56+'Fed Contracts Grnts-2Yr'!T56+'Other Contracts Grnts-2Yr'!T56+'Investment Income-2Yr'!T56+'All Other E&amp;G-2Yr'!T56</f>
        <v>549726.59</v>
      </c>
      <c r="U56" s="90">
        <f>+'Tuition-2Yr'!U56+'State Appropriations-2Yr'!U56+'Local Appropriations-2Yr'!U56+'Fed Contracts Grnts-2Yr'!U56+'Other Contracts Grnts-2Yr'!U56+'Investment Income-2Yr'!U56+'All Other E&amp;G-2Yr'!U56</f>
        <v>521957.47899999999</v>
      </c>
      <c r="V56" s="90">
        <f>+'Tuition-2Yr'!V56+'State Appropriations-2Yr'!V56+'Local Appropriations-2Yr'!V56+'Fed Contracts Grnts-2Yr'!V56+'Other Contracts Grnts-2Yr'!V56+'Investment Income-2Yr'!V56+'All Other E&amp;G-2Yr'!V56</f>
        <v>516543.05799999996</v>
      </c>
      <c r="W56" s="90">
        <f>+'Tuition-2Yr'!W56+'State Appropriations-2Yr'!W56+'Local Appropriations-2Yr'!W56+'Fed Contracts Grnts-2Yr'!W56+'Other Contracts Grnts-2Yr'!W56+'Investment Income-2Yr'!W56+'All Other E&amp;G-2Yr'!W56</f>
        <v>597133.326</v>
      </c>
      <c r="X56" s="90">
        <f>+'Tuition-2Yr'!X56+'State Appropriations-2Yr'!X56+'Local Appropriations-2Yr'!X56+'Fed Contracts Grnts-2Yr'!X56+'Other Contracts Grnts-2Yr'!X56+'Investment Income-2Yr'!X56+'All Other E&amp;G-2Yr'!X56</f>
        <v>584324.60200000007</v>
      </c>
      <c r="Y56" s="90">
        <f>+'Tuition-2Yr'!Y56+'State Appropriations-2Yr'!Y56+'Local Appropriations-2Yr'!Y56+'Fed Contracts Grnts-2Yr'!Y56+'Other Contracts Grnts-2Yr'!Y56+'Investment Income-2Yr'!Y56+'All Other E&amp;G-2Yr'!Y56</f>
        <v>622943.14600000007</v>
      </c>
      <c r="Z56" s="90">
        <f>+'Tuition-2Yr'!Z56+'State Appropriations-2Yr'!Z56+'Local Appropriations-2Yr'!Z56+'Fed Contracts Grnts-2Yr'!Z56+'Other Contracts Grnts-2Yr'!Z56+'Investment Income-2Yr'!Z56+'All Other E&amp;G-2Yr'!Z56</f>
        <v>667297.33899999992</v>
      </c>
      <c r="AA56" s="90">
        <f>+'Tuition-2Yr'!AA56+'State Appropriations-2Yr'!AA56+'Local Appropriations-2Yr'!AA56+'Fed Contracts Grnts-2Yr'!AA56+'Other Contracts Grnts-2Yr'!AA56+'Investment Income-2Yr'!AA56+'All Other E&amp;G-2Yr'!AA56</f>
        <v>740952.23399999994</v>
      </c>
      <c r="AB56" s="90">
        <f>+'Tuition-2Yr'!AB56+'State Appropriations-2Yr'!AB56+'Local Appropriations-2Yr'!AB56+'Fed Contracts Grnts-2Yr'!AB56+'Other Contracts Grnts-2Yr'!AB56+'Investment Income-2Yr'!AB56+'All Other E&amp;G-2Yr'!AB56</f>
        <v>859489.53</v>
      </c>
      <c r="AC56" s="90">
        <f>+'Tuition-2Yr'!AC56+'State Appropriations-2Yr'!AC56+'Local Appropriations-2Yr'!AC56+'Fed Contracts Grnts-2Yr'!AC56+'Other Contracts Grnts-2Yr'!AC56+'Investment Income-2Yr'!AC56+'All Other E&amp;G-2Yr'!AC56</f>
        <v>918155</v>
      </c>
      <c r="AD56" s="90">
        <f>+'Tuition-2Yr'!AD56+'State Appropriations-2Yr'!AD56+'Local Appropriations-2Yr'!AD56+'Fed Contracts Grnts-2Yr'!AD56+'Other Contracts Grnts-2Yr'!AD56+'Investment Income-2Yr'!AD56+'All Other E&amp;G-2Yr'!AD56</f>
        <v>934710.33699999994</v>
      </c>
      <c r="AE56" s="90">
        <f>+'Tuition-2Yr'!AE56+'State Appropriations-2Yr'!AE56+'Local Appropriations-2Yr'!AE56+'Fed Contracts Grnts-2Yr'!AE56+'Other Contracts Grnts-2Yr'!AE56+'Investment Income-2Yr'!AE56+'All Other E&amp;G-2Yr'!AE56</f>
        <v>948090.054</v>
      </c>
      <c r="AF56" s="90">
        <f>+'Tuition-2Yr'!AF56+'State Appropriations-2Yr'!AF56+'Local Appropriations-2Yr'!AF56+'Fed Contracts Grnts-2Yr'!AF56+'Other Contracts Grnts-2Yr'!AF56+'Investment Income-2Yr'!AF56+'All Other E&amp;G-2Yr'!AF56</f>
        <v>996598.68299999996</v>
      </c>
      <c r="AG56" s="90">
        <f>+'Tuition-2Yr'!AG56+'State Appropriations-2Yr'!AG56+'Local Appropriations-2Yr'!AG56+'Fed Contracts Grnts-2Yr'!AG56+'Other Contracts Grnts-2Yr'!AG56+'Investment Income-2Yr'!AG56+'All Other E&amp;G-2Yr'!AG56</f>
        <v>998995.74699999997</v>
      </c>
      <c r="AH56" s="90">
        <f>+'Tuition-2Yr'!AH56+'State Appropriations-2Yr'!AH56+'Local Appropriations-2Yr'!AH56+'Fed Contracts Grnts-2Yr'!AH56+'Other Contracts Grnts-2Yr'!AH56+'Investment Income-2Yr'!AH56+'All Other E&amp;G-2Yr'!AH56</f>
        <v>1009588.275</v>
      </c>
      <c r="AI56" s="90">
        <f>+'Tuition-2Yr'!AI56+'State Appropriations-2Yr'!AI56+'Local Appropriations-2Yr'!AI56+'Fed Contracts Grnts-2Yr'!AI56+'Other Contracts Grnts-2Yr'!AI56+'Investment Income-2Yr'!AI56+'All Other E&amp;G-2Yr'!AI56</f>
        <v>1029669.13</v>
      </c>
      <c r="AJ56" s="90">
        <f>+'Tuition-2Yr'!AJ56+'State Appropriations-2Yr'!AJ56+'Local Appropriations-2Yr'!AJ56+'Fed Contracts Grnts-2Yr'!AJ56+'Other Contracts Grnts-2Yr'!AJ56+'Investment Income-2Yr'!AJ56+'All Other E&amp;G-2Yr'!AJ56</f>
        <v>0</v>
      </c>
      <c r="AK56" s="90">
        <f>+'Tuition-2Yr'!AK56+'State Appropriations-2Yr'!AK56+'Local Appropriations-2Yr'!AK56+'Fed Contracts Grnts-2Yr'!AK56+'Other Contracts Grnts-2Yr'!AK56+'Investment Income-2Yr'!AK56+'All Other E&amp;G-2Yr'!AK56</f>
        <v>1082310.1499999999</v>
      </c>
    </row>
    <row r="57" spans="1:37" ht="12.75" customHeight="1">
      <c r="A57" s="1" t="s">
        <v>68</v>
      </c>
      <c r="B57" s="90">
        <f>+'Tuition-2Yr'!B57+'State Appropriations-2Yr'!B57+'Local Appropriations-2Yr'!B57+'Fed Contracts Grnts-2Yr'!B57+'Other Contracts Grnts-2Yr'!B57+'Investment Income-2Yr'!B57+'All Other E&amp;G-2Yr'!B57</f>
        <v>0</v>
      </c>
      <c r="C57" s="90">
        <f>+'Tuition-2Yr'!C57+'State Appropriations-2Yr'!C57+'Local Appropriations-2Yr'!C57+'Fed Contracts Grnts-2Yr'!C57+'Other Contracts Grnts-2Yr'!C57+'Investment Income-2Yr'!C57+'All Other E&amp;G-2Yr'!C57</f>
        <v>0</v>
      </c>
      <c r="D57" s="90">
        <f>+'Tuition-2Yr'!D57+'State Appropriations-2Yr'!D57+'Local Appropriations-2Yr'!D57+'Fed Contracts Grnts-2Yr'!D57+'Other Contracts Grnts-2Yr'!D57+'Investment Income-2Yr'!D57+'All Other E&amp;G-2Yr'!D57</f>
        <v>0</v>
      </c>
      <c r="E57" s="90">
        <f>+'Tuition-2Yr'!E57+'State Appropriations-2Yr'!E57+'Local Appropriations-2Yr'!E57+'Fed Contracts Grnts-2Yr'!E57+'Other Contracts Grnts-2Yr'!E57+'Investment Income-2Yr'!E57+'All Other E&amp;G-2Yr'!E57</f>
        <v>0</v>
      </c>
      <c r="F57" s="90">
        <f>+'Tuition-2Yr'!F57+'State Appropriations-2Yr'!F57+'Local Appropriations-2Yr'!F57+'Fed Contracts Grnts-2Yr'!F57+'Other Contracts Grnts-2Yr'!F57+'Investment Income-2Yr'!F57+'All Other E&amp;G-2Yr'!F57</f>
        <v>0</v>
      </c>
      <c r="G57" s="90">
        <f>+'Tuition-2Yr'!G57+'State Appropriations-2Yr'!G57+'Local Appropriations-2Yr'!G57+'Fed Contracts Grnts-2Yr'!G57+'Other Contracts Grnts-2Yr'!G57+'Investment Income-2Yr'!G57+'All Other E&amp;G-2Yr'!G57</f>
        <v>0</v>
      </c>
      <c r="H57" s="90">
        <f>+'Tuition-2Yr'!H57+'State Appropriations-2Yr'!H57+'Local Appropriations-2Yr'!H57+'Fed Contracts Grnts-2Yr'!H57+'Other Contracts Grnts-2Yr'!H57+'Investment Income-2Yr'!H57+'All Other E&amp;G-2Yr'!H57</f>
        <v>0</v>
      </c>
      <c r="I57" s="90">
        <f>+'Tuition-2Yr'!I57+'State Appropriations-2Yr'!I57+'Local Appropriations-2Yr'!I57+'Fed Contracts Grnts-2Yr'!I57+'Other Contracts Grnts-2Yr'!I57+'Investment Income-2Yr'!I57+'All Other E&amp;G-2Yr'!I57</f>
        <v>0</v>
      </c>
      <c r="J57" s="90">
        <f>+'Tuition-2Yr'!J57+'State Appropriations-2Yr'!J57+'Local Appropriations-2Yr'!J57+'Fed Contracts Grnts-2Yr'!J57+'Other Contracts Grnts-2Yr'!J57+'Investment Income-2Yr'!J57+'All Other E&amp;G-2Yr'!J57</f>
        <v>32847.193999999996</v>
      </c>
      <c r="K57" s="90">
        <f>+'Tuition-2Yr'!K57+'State Appropriations-2Yr'!K57+'Local Appropriations-2Yr'!K57+'Fed Contracts Grnts-2Yr'!K57+'Other Contracts Grnts-2Yr'!K57+'Investment Income-2Yr'!K57+'All Other E&amp;G-2Yr'!K57</f>
        <v>0</v>
      </c>
      <c r="L57" s="90">
        <f>+'Tuition-2Yr'!L57+'State Appropriations-2Yr'!L57+'Local Appropriations-2Yr'!L57+'Fed Contracts Grnts-2Yr'!L57+'Other Contracts Grnts-2Yr'!L57+'Investment Income-2Yr'!L57+'All Other E&amp;G-2Yr'!L57</f>
        <v>0</v>
      </c>
      <c r="M57" s="90">
        <f>+'Tuition-2Yr'!M57+'State Appropriations-2Yr'!M57+'Local Appropriations-2Yr'!M57+'Fed Contracts Grnts-2Yr'!M57+'Other Contracts Grnts-2Yr'!M57+'Investment Income-2Yr'!M57+'All Other E&amp;G-2Yr'!M57</f>
        <v>41022.446000000004</v>
      </c>
      <c r="N57" s="90">
        <f>+'Tuition-2Yr'!N57+'State Appropriations-2Yr'!N57+'Local Appropriations-2Yr'!N57+'Fed Contracts Grnts-2Yr'!N57+'Other Contracts Grnts-2Yr'!N57+'Investment Income-2Yr'!N57+'All Other E&amp;G-2Yr'!N57</f>
        <v>0</v>
      </c>
      <c r="O57" s="90">
        <f>+'Tuition-2Yr'!O57+'State Appropriations-2Yr'!O57+'Local Appropriations-2Yr'!O57+'Fed Contracts Grnts-2Yr'!O57+'Other Contracts Grnts-2Yr'!O57+'Investment Income-2Yr'!O57+'All Other E&amp;G-2Yr'!O57</f>
        <v>53657.03398</v>
      </c>
      <c r="P57" s="90">
        <f>+'Tuition-2Yr'!P57+'State Appropriations-2Yr'!P57+'Local Appropriations-2Yr'!P57+'Fed Contracts Grnts-2Yr'!P57+'Other Contracts Grnts-2Yr'!P57+'Investment Income-2Yr'!P57+'All Other E&amp;G-2Yr'!P57</f>
        <v>0</v>
      </c>
      <c r="Q57" s="90">
        <f>+'Tuition-2Yr'!Q57+'State Appropriations-2Yr'!Q57+'Local Appropriations-2Yr'!Q57+'Fed Contracts Grnts-2Yr'!Q57+'Other Contracts Grnts-2Yr'!Q57+'Investment Income-2Yr'!Q57+'All Other E&amp;G-2Yr'!Q57</f>
        <v>0</v>
      </c>
      <c r="R57" s="90">
        <f>+'Tuition-2Yr'!R57+'State Appropriations-2Yr'!R57+'Local Appropriations-2Yr'!R57+'Fed Contracts Grnts-2Yr'!R57+'Other Contracts Grnts-2Yr'!R57+'Investment Income-2Yr'!R57+'All Other E&amp;G-2Yr'!R57</f>
        <v>47907.748</v>
      </c>
      <c r="S57" s="90">
        <f>+'Tuition-2Yr'!S57+'State Appropriations-2Yr'!S57+'Local Appropriations-2Yr'!S57+'Fed Contracts Grnts-2Yr'!S57+'Other Contracts Grnts-2Yr'!S57+'Investment Income-2Yr'!S57+'All Other E&amp;G-2Yr'!S57</f>
        <v>50164.858999999997</v>
      </c>
      <c r="T57" s="90">
        <f>+'Tuition-2Yr'!T57+'State Appropriations-2Yr'!T57+'Local Appropriations-2Yr'!T57+'Fed Contracts Grnts-2Yr'!T57+'Other Contracts Grnts-2Yr'!T57+'Investment Income-2Yr'!T57+'All Other E&amp;G-2Yr'!T57</f>
        <v>55043.409999999996</v>
      </c>
      <c r="U57" s="90">
        <f>+'Tuition-2Yr'!U57+'State Appropriations-2Yr'!U57+'Local Appropriations-2Yr'!U57+'Fed Contracts Grnts-2Yr'!U57+'Other Contracts Grnts-2Yr'!U57+'Investment Income-2Yr'!U57+'All Other E&amp;G-2Yr'!U57</f>
        <v>60955.018000000004</v>
      </c>
      <c r="V57" s="90">
        <f>+'Tuition-2Yr'!V57+'State Appropriations-2Yr'!V57+'Local Appropriations-2Yr'!V57+'Fed Contracts Grnts-2Yr'!V57+'Other Contracts Grnts-2Yr'!V57+'Investment Income-2Yr'!V57+'All Other E&amp;G-2Yr'!V57</f>
        <v>64492.563000000002</v>
      </c>
      <c r="W57" s="90">
        <f>+'Tuition-2Yr'!W57+'State Appropriations-2Yr'!W57+'Local Appropriations-2Yr'!W57+'Fed Contracts Grnts-2Yr'!W57+'Other Contracts Grnts-2Yr'!W57+'Investment Income-2Yr'!W57+'All Other E&amp;G-2Yr'!W57</f>
        <v>70996.664999999994</v>
      </c>
      <c r="X57" s="90">
        <f>+'Tuition-2Yr'!X57+'State Appropriations-2Yr'!X57+'Local Appropriations-2Yr'!X57+'Fed Contracts Grnts-2Yr'!X57+'Other Contracts Grnts-2Yr'!X57+'Investment Income-2Yr'!X57+'All Other E&amp;G-2Yr'!X57</f>
        <v>60962.487999999998</v>
      </c>
      <c r="Y57" s="90">
        <f>+'Tuition-2Yr'!Y57+'State Appropriations-2Yr'!Y57+'Local Appropriations-2Yr'!Y57+'Fed Contracts Grnts-2Yr'!Y57+'Other Contracts Grnts-2Yr'!Y57+'Investment Income-2Yr'!Y57+'All Other E&amp;G-2Yr'!Y57</f>
        <v>85121.65400000001</v>
      </c>
      <c r="Z57" s="90">
        <f>+'Tuition-2Yr'!Z57+'State Appropriations-2Yr'!Z57+'Local Appropriations-2Yr'!Z57+'Fed Contracts Grnts-2Yr'!Z57+'Other Contracts Grnts-2Yr'!Z57+'Investment Income-2Yr'!Z57+'All Other E&amp;G-2Yr'!Z57</f>
        <v>85772.648000000001</v>
      </c>
      <c r="AA57" s="90">
        <f>+'Tuition-2Yr'!AA57+'State Appropriations-2Yr'!AA57+'Local Appropriations-2Yr'!AA57+'Fed Contracts Grnts-2Yr'!AA57+'Other Contracts Grnts-2Yr'!AA57+'Investment Income-2Yr'!AA57+'All Other E&amp;G-2Yr'!AA57</f>
        <v>98602.676999999981</v>
      </c>
      <c r="AB57" s="90">
        <f>+'Tuition-2Yr'!AB57+'State Appropriations-2Yr'!AB57+'Local Appropriations-2Yr'!AB57+'Fed Contracts Grnts-2Yr'!AB57+'Other Contracts Grnts-2Yr'!AB57+'Investment Income-2Yr'!AB57+'All Other E&amp;G-2Yr'!AB57</f>
        <v>110682.738</v>
      </c>
      <c r="AC57" s="90">
        <f>+'Tuition-2Yr'!AC57+'State Appropriations-2Yr'!AC57+'Local Appropriations-2Yr'!AC57+'Fed Contracts Grnts-2Yr'!AC57+'Other Contracts Grnts-2Yr'!AC57+'Investment Income-2Yr'!AC57+'All Other E&amp;G-2Yr'!AC57</f>
        <v>123268</v>
      </c>
      <c r="AD57" s="90">
        <f>+'Tuition-2Yr'!AD57+'State Appropriations-2Yr'!AD57+'Local Appropriations-2Yr'!AD57+'Fed Contracts Grnts-2Yr'!AD57+'Other Contracts Grnts-2Yr'!AD57+'Investment Income-2Yr'!AD57+'All Other E&amp;G-2Yr'!AD57</f>
        <v>118715.92200000001</v>
      </c>
      <c r="AE57" s="90">
        <f>+'Tuition-2Yr'!AE57+'State Appropriations-2Yr'!AE57+'Local Appropriations-2Yr'!AE57+'Fed Contracts Grnts-2Yr'!AE57+'Other Contracts Grnts-2Yr'!AE57+'Investment Income-2Yr'!AE57+'All Other E&amp;G-2Yr'!AE57</f>
        <v>150893.33100000001</v>
      </c>
      <c r="AF57" s="90">
        <f>+'Tuition-2Yr'!AF57+'State Appropriations-2Yr'!AF57+'Local Appropriations-2Yr'!AF57+'Fed Contracts Grnts-2Yr'!AF57+'Other Contracts Grnts-2Yr'!AF57+'Investment Income-2Yr'!AF57+'All Other E&amp;G-2Yr'!AF57</f>
        <v>139675.58300000001</v>
      </c>
      <c r="AG57" s="90">
        <f>+'Tuition-2Yr'!AG57+'State Appropriations-2Yr'!AG57+'Local Appropriations-2Yr'!AG57+'Fed Contracts Grnts-2Yr'!AG57+'Other Contracts Grnts-2Yr'!AG57+'Investment Income-2Yr'!AG57+'All Other E&amp;G-2Yr'!AG57</f>
        <v>126743.81300000002</v>
      </c>
      <c r="AH57" s="90">
        <f>+'Tuition-2Yr'!AH57+'State Appropriations-2Yr'!AH57+'Local Appropriations-2Yr'!AH57+'Fed Contracts Grnts-2Yr'!AH57+'Other Contracts Grnts-2Yr'!AH57+'Investment Income-2Yr'!AH57+'All Other E&amp;G-2Yr'!AH57</f>
        <v>142003.36299999998</v>
      </c>
      <c r="AI57" s="90">
        <f>+'Tuition-2Yr'!AI57+'State Appropriations-2Yr'!AI57+'Local Appropriations-2Yr'!AI57+'Fed Contracts Grnts-2Yr'!AI57+'Other Contracts Grnts-2Yr'!AI57+'Investment Income-2Yr'!AI57+'All Other E&amp;G-2Yr'!AI57</f>
        <v>135001.196</v>
      </c>
      <c r="AJ57" s="90">
        <f>+'Tuition-2Yr'!AJ57+'State Appropriations-2Yr'!AJ57+'Local Appropriations-2Yr'!AJ57+'Fed Contracts Grnts-2Yr'!AJ57+'Other Contracts Grnts-2Yr'!AJ57+'Investment Income-2Yr'!AJ57+'All Other E&amp;G-2Yr'!AJ57</f>
        <v>0</v>
      </c>
      <c r="AK57" s="90">
        <f>+'Tuition-2Yr'!AK57+'State Appropriations-2Yr'!AK57+'Local Appropriations-2Yr'!AK57+'Fed Contracts Grnts-2Yr'!AK57+'Other Contracts Grnts-2Yr'!AK57+'Investment Income-2Yr'!AK57+'All Other E&amp;G-2Yr'!AK57</f>
        <v>155288.723</v>
      </c>
    </row>
    <row r="58" spans="1:37" ht="12.75" customHeight="1">
      <c r="A58" s="1" t="s">
        <v>69</v>
      </c>
      <c r="B58" s="90">
        <f>+'Tuition-2Yr'!B58+'State Appropriations-2Yr'!B58+'Local Appropriations-2Yr'!B58+'Fed Contracts Grnts-2Yr'!B58+'Other Contracts Grnts-2Yr'!B58+'Investment Income-2Yr'!B58+'All Other E&amp;G-2Yr'!B58</f>
        <v>0</v>
      </c>
      <c r="C58" s="90">
        <f>+'Tuition-2Yr'!C58+'State Appropriations-2Yr'!C58+'Local Appropriations-2Yr'!C58+'Fed Contracts Grnts-2Yr'!C58+'Other Contracts Grnts-2Yr'!C58+'Investment Income-2Yr'!C58+'All Other E&amp;G-2Yr'!C58</f>
        <v>0</v>
      </c>
      <c r="D58" s="90">
        <f>+'Tuition-2Yr'!D58+'State Appropriations-2Yr'!D58+'Local Appropriations-2Yr'!D58+'Fed Contracts Grnts-2Yr'!D58+'Other Contracts Grnts-2Yr'!D58+'Investment Income-2Yr'!D58+'All Other E&amp;G-2Yr'!D58</f>
        <v>0</v>
      </c>
      <c r="E58" s="90">
        <f>+'Tuition-2Yr'!E58+'State Appropriations-2Yr'!E58+'Local Appropriations-2Yr'!E58+'Fed Contracts Grnts-2Yr'!E58+'Other Contracts Grnts-2Yr'!E58+'Investment Income-2Yr'!E58+'All Other E&amp;G-2Yr'!E58</f>
        <v>0</v>
      </c>
      <c r="F58" s="90">
        <f>+'Tuition-2Yr'!F58+'State Appropriations-2Yr'!F58+'Local Appropriations-2Yr'!F58+'Fed Contracts Grnts-2Yr'!F58+'Other Contracts Grnts-2Yr'!F58+'Investment Income-2Yr'!F58+'All Other E&amp;G-2Yr'!F58</f>
        <v>0</v>
      </c>
      <c r="G58" s="90">
        <f>+'Tuition-2Yr'!G58+'State Appropriations-2Yr'!G58+'Local Appropriations-2Yr'!G58+'Fed Contracts Grnts-2Yr'!G58+'Other Contracts Grnts-2Yr'!G58+'Investment Income-2Yr'!G58+'All Other E&amp;G-2Yr'!G58</f>
        <v>0</v>
      </c>
      <c r="H58" s="90">
        <f>+'Tuition-2Yr'!H58+'State Appropriations-2Yr'!H58+'Local Appropriations-2Yr'!H58+'Fed Contracts Grnts-2Yr'!H58+'Other Contracts Grnts-2Yr'!H58+'Investment Income-2Yr'!H58+'All Other E&amp;G-2Yr'!H58</f>
        <v>0</v>
      </c>
      <c r="I58" s="90">
        <f>+'Tuition-2Yr'!I58+'State Appropriations-2Yr'!I58+'Local Appropriations-2Yr'!I58+'Fed Contracts Grnts-2Yr'!I58+'Other Contracts Grnts-2Yr'!I58+'Investment Income-2Yr'!I58+'All Other E&amp;G-2Yr'!I58</f>
        <v>0</v>
      </c>
      <c r="J58" s="90">
        <f>+'Tuition-2Yr'!J58+'State Appropriations-2Yr'!J58+'Local Appropriations-2Yr'!J58+'Fed Contracts Grnts-2Yr'!J58+'Other Contracts Grnts-2Yr'!J58+'Investment Income-2Yr'!J58+'All Other E&amp;G-2Yr'!J58</f>
        <v>484658.95500000007</v>
      </c>
      <c r="K58" s="90">
        <f>+'Tuition-2Yr'!K58+'State Appropriations-2Yr'!K58+'Local Appropriations-2Yr'!K58+'Fed Contracts Grnts-2Yr'!K58+'Other Contracts Grnts-2Yr'!K58+'Investment Income-2Yr'!K58+'All Other E&amp;G-2Yr'!K58</f>
        <v>0</v>
      </c>
      <c r="L58" s="90">
        <f>+'Tuition-2Yr'!L58+'State Appropriations-2Yr'!L58+'Local Appropriations-2Yr'!L58+'Fed Contracts Grnts-2Yr'!L58+'Other Contracts Grnts-2Yr'!L58+'Investment Income-2Yr'!L58+'All Other E&amp;G-2Yr'!L58</f>
        <v>0</v>
      </c>
      <c r="M58" s="90">
        <f>+'Tuition-2Yr'!M58+'State Appropriations-2Yr'!M58+'Local Appropriations-2Yr'!M58+'Fed Contracts Grnts-2Yr'!M58+'Other Contracts Grnts-2Yr'!M58+'Investment Income-2Yr'!M58+'All Other E&amp;G-2Yr'!M58</f>
        <v>570361.76100000006</v>
      </c>
      <c r="N58" s="90">
        <f>+'Tuition-2Yr'!N58+'State Appropriations-2Yr'!N58+'Local Appropriations-2Yr'!N58+'Fed Contracts Grnts-2Yr'!N58+'Other Contracts Grnts-2Yr'!N58+'Investment Income-2Yr'!N58+'All Other E&amp;G-2Yr'!N58</f>
        <v>0</v>
      </c>
      <c r="O58" s="90">
        <f>+'Tuition-2Yr'!O58+'State Appropriations-2Yr'!O58+'Local Appropriations-2Yr'!O58+'Fed Contracts Grnts-2Yr'!O58+'Other Contracts Grnts-2Yr'!O58+'Investment Income-2Yr'!O58+'All Other E&amp;G-2Yr'!O58</f>
        <v>600120.78200000001</v>
      </c>
      <c r="P58" s="90">
        <f>+'Tuition-2Yr'!P58+'State Appropriations-2Yr'!P58+'Local Appropriations-2Yr'!P58+'Fed Contracts Grnts-2Yr'!P58+'Other Contracts Grnts-2Yr'!P58+'Investment Income-2Yr'!P58+'All Other E&amp;G-2Yr'!P58</f>
        <v>0</v>
      </c>
      <c r="Q58" s="90">
        <f>+'Tuition-2Yr'!Q58+'State Appropriations-2Yr'!Q58+'Local Appropriations-2Yr'!Q58+'Fed Contracts Grnts-2Yr'!Q58+'Other Contracts Grnts-2Yr'!Q58+'Investment Income-2Yr'!Q58+'All Other E&amp;G-2Yr'!Q58</f>
        <v>0</v>
      </c>
      <c r="R58" s="90">
        <f>+'Tuition-2Yr'!R58+'State Appropriations-2Yr'!R58+'Local Appropriations-2Yr'!R58+'Fed Contracts Grnts-2Yr'!R58+'Other Contracts Grnts-2Yr'!R58+'Investment Income-2Yr'!R58+'All Other E&amp;G-2Yr'!R58</f>
        <v>666944.16799999995</v>
      </c>
      <c r="S58" s="90">
        <f>+'Tuition-2Yr'!S58+'State Appropriations-2Yr'!S58+'Local Appropriations-2Yr'!S58+'Fed Contracts Grnts-2Yr'!S58+'Other Contracts Grnts-2Yr'!S58+'Investment Income-2Yr'!S58+'All Other E&amp;G-2Yr'!S58</f>
        <v>725865.83100000012</v>
      </c>
      <c r="T58" s="90">
        <f>+'Tuition-2Yr'!T58+'State Appropriations-2Yr'!T58+'Local Appropriations-2Yr'!T58+'Fed Contracts Grnts-2Yr'!T58+'Other Contracts Grnts-2Yr'!T58+'Investment Income-2Yr'!T58+'All Other E&amp;G-2Yr'!T58</f>
        <v>799700.55499999993</v>
      </c>
      <c r="U58" s="90">
        <f>+'Tuition-2Yr'!U58+'State Appropriations-2Yr'!U58+'Local Appropriations-2Yr'!U58+'Fed Contracts Grnts-2Yr'!U58+'Other Contracts Grnts-2Yr'!U58+'Investment Income-2Yr'!U58+'All Other E&amp;G-2Yr'!U58</f>
        <v>779601.41399999987</v>
      </c>
      <c r="V58" s="90">
        <f>+'Tuition-2Yr'!V58+'State Appropriations-2Yr'!V58+'Local Appropriations-2Yr'!V58+'Fed Contracts Grnts-2Yr'!V58+'Other Contracts Grnts-2Yr'!V58+'Investment Income-2Yr'!V58+'All Other E&amp;G-2Yr'!V58</f>
        <v>848284.147</v>
      </c>
      <c r="W58" s="90">
        <f>+'Tuition-2Yr'!W58+'State Appropriations-2Yr'!W58+'Local Appropriations-2Yr'!W58+'Fed Contracts Grnts-2Yr'!W58+'Other Contracts Grnts-2Yr'!W58+'Investment Income-2Yr'!W58+'All Other E&amp;G-2Yr'!W58</f>
        <v>980830.98600000015</v>
      </c>
      <c r="X58" s="90">
        <f>+'Tuition-2Yr'!X58+'State Appropriations-2Yr'!X58+'Local Appropriations-2Yr'!X58+'Fed Contracts Grnts-2Yr'!X58+'Other Contracts Grnts-2Yr'!X58+'Investment Income-2Yr'!X58+'All Other E&amp;G-2Yr'!X58</f>
        <v>908313.18599999999</v>
      </c>
      <c r="Y58" s="90">
        <f>+'Tuition-2Yr'!Y58+'State Appropriations-2Yr'!Y58+'Local Appropriations-2Yr'!Y58+'Fed Contracts Grnts-2Yr'!Y58+'Other Contracts Grnts-2Yr'!Y58+'Investment Income-2Yr'!Y58+'All Other E&amp;G-2Yr'!Y58</f>
        <v>952799.17299999995</v>
      </c>
      <c r="Z58" s="90">
        <f>+'Tuition-2Yr'!Z58+'State Appropriations-2Yr'!Z58+'Local Appropriations-2Yr'!Z58+'Fed Contracts Grnts-2Yr'!Z58+'Other Contracts Grnts-2Yr'!Z58+'Investment Income-2Yr'!Z58+'All Other E&amp;G-2Yr'!Z58</f>
        <v>1047312.3189999999</v>
      </c>
      <c r="AA58" s="90">
        <f>+'Tuition-2Yr'!AA58+'State Appropriations-2Yr'!AA58+'Local Appropriations-2Yr'!AA58+'Fed Contracts Grnts-2Yr'!AA58+'Other Contracts Grnts-2Yr'!AA58+'Investment Income-2Yr'!AA58+'All Other E&amp;G-2Yr'!AA58</f>
        <v>1230692.7650000001</v>
      </c>
      <c r="AB58" s="90">
        <f>+'Tuition-2Yr'!AB58+'State Appropriations-2Yr'!AB58+'Local Appropriations-2Yr'!AB58+'Fed Contracts Grnts-2Yr'!AB58+'Other Contracts Grnts-2Yr'!AB58+'Investment Income-2Yr'!AB58+'All Other E&amp;G-2Yr'!AB58</f>
        <v>1447695.909</v>
      </c>
      <c r="AC58" s="90">
        <f>+'Tuition-2Yr'!AC58+'State Appropriations-2Yr'!AC58+'Local Appropriations-2Yr'!AC58+'Fed Contracts Grnts-2Yr'!AC58+'Other Contracts Grnts-2Yr'!AC58+'Investment Income-2Yr'!AC58+'All Other E&amp;G-2Yr'!AC58</f>
        <v>1468208</v>
      </c>
      <c r="AD58" s="90">
        <f>+'Tuition-2Yr'!AD58+'State Appropriations-2Yr'!AD58+'Local Appropriations-2Yr'!AD58+'Fed Contracts Grnts-2Yr'!AD58+'Other Contracts Grnts-2Yr'!AD58+'Investment Income-2Yr'!AD58+'All Other E&amp;G-2Yr'!AD58</f>
        <v>1528591.5149999999</v>
      </c>
      <c r="AE58" s="90">
        <f>+'Tuition-2Yr'!AE58+'State Appropriations-2Yr'!AE58+'Local Appropriations-2Yr'!AE58+'Fed Contracts Grnts-2Yr'!AE58+'Other Contracts Grnts-2Yr'!AE58+'Investment Income-2Yr'!AE58+'All Other E&amp;G-2Yr'!AE58</f>
        <v>1461900.51</v>
      </c>
      <c r="AF58" s="90">
        <f>+'Tuition-2Yr'!AF58+'State Appropriations-2Yr'!AF58+'Local Appropriations-2Yr'!AF58+'Fed Contracts Grnts-2Yr'!AF58+'Other Contracts Grnts-2Yr'!AF58+'Investment Income-2Yr'!AF58+'All Other E&amp;G-2Yr'!AF58</f>
        <v>1463157.9589999998</v>
      </c>
      <c r="AG58" s="90">
        <f>+'Tuition-2Yr'!AG58+'State Appropriations-2Yr'!AG58+'Local Appropriations-2Yr'!AG58+'Fed Contracts Grnts-2Yr'!AG58+'Other Contracts Grnts-2Yr'!AG58+'Investment Income-2Yr'!AG58+'All Other E&amp;G-2Yr'!AG58</f>
        <v>1449990.3979999998</v>
      </c>
      <c r="AH58" s="90">
        <f>+'Tuition-2Yr'!AH58+'State Appropriations-2Yr'!AH58+'Local Appropriations-2Yr'!AH58+'Fed Contracts Grnts-2Yr'!AH58+'Other Contracts Grnts-2Yr'!AH58+'Investment Income-2Yr'!AH58+'All Other E&amp;G-2Yr'!AH58</f>
        <v>1446836.7520000001</v>
      </c>
      <c r="AI58" s="90">
        <f>+'Tuition-2Yr'!AI58+'State Appropriations-2Yr'!AI58+'Local Appropriations-2Yr'!AI58+'Fed Contracts Grnts-2Yr'!AI58+'Other Contracts Grnts-2Yr'!AI58+'Investment Income-2Yr'!AI58+'All Other E&amp;G-2Yr'!AI58</f>
        <v>1397939.8420000002</v>
      </c>
      <c r="AJ58" s="90">
        <f>+'Tuition-2Yr'!AJ58+'State Appropriations-2Yr'!AJ58+'Local Appropriations-2Yr'!AJ58+'Fed Contracts Grnts-2Yr'!AJ58+'Other Contracts Grnts-2Yr'!AJ58+'Investment Income-2Yr'!AJ58+'All Other E&amp;G-2Yr'!AJ58</f>
        <v>0</v>
      </c>
      <c r="AK58" s="90">
        <f>+'Tuition-2Yr'!AK58+'State Appropriations-2Yr'!AK58+'Local Appropriations-2Yr'!AK58+'Fed Contracts Grnts-2Yr'!AK58+'Other Contracts Grnts-2Yr'!AK58+'Investment Income-2Yr'!AK58+'All Other E&amp;G-2Yr'!AK58</f>
        <v>1536483.4949999999</v>
      </c>
    </row>
    <row r="59" spans="1:37" ht="12.75" customHeight="1">
      <c r="A59" s="1" t="s">
        <v>70</v>
      </c>
      <c r="B59" s="90">
        <f>+'Tuition-2Yr'!B59+'State Appropriations-2Yr'!B59+'Local Appropriations-2Yr'!B59+'Fed Contracts Grnts-2Yr'!B59+'Other Contracts Grnts-2Yr'!B59+'Investment Income-2Yr'!B59+'All Other E&amp;G-2Yr'!B59</f>
        <v>0</v>
      </c>
      <c r="C59" s="90">
        <f>+'Tuition-2Yr'!C59+'State Appropriations-2Yr'!C59+'Local Appropriations-2Yr'!C59+'Fed Contracts Grnts-2Yr'!C59+'Other Contracts Grnts-2Yr'!C59+'Investment Income-2Yr'!C59+'All Other E&amp;G-2Yr'!C59</f>
        <v>0</v>
      </c>
      <c r="D59" s="90">
        <f>+'Tuition-2Yr'!D59+'State Appropriations-2Yr'!D59+'Local Appropriations-2Yr'!D59+'Fed Contracts Grnts-2Yr'!D59+'Other Contracts Grnts-2Yr'!D59+'Investment Income-2Yr'!D59+'All Other E&amp;G-2Yr'!D59</f>
        <v>0</v>
      </c>
      <c r="E59" s="90">
        <f>+'Tuition-2Yr'!E59+'State Appropriations-2Yr'!E59+'Local Appropriations-2Yr'!E59+'Fed Contracts Grnts-2Yr'!E59+'Other Contracts Grnts-2Yr'!E59+'Investment Income-2Yr'!E59+'All Other E&amp;G-2Yr'!E59</f>
        <v>0</v>
      </c>
      <c r="F59" s="90">
        <f>+'Tuition-2Yr'!F59+'State Appropriations-2Yr'!F59+'Local Appropriations-2Yr'!F59+'Fed Contracts Grnts-2Yr'!F59+'Other Contracts Grnts-2Yr'!F59+'Investment Income-2Yr'!F59+'All Other E&amp;G-2Yr'!F59</f>
        <v>0</v>
      </c>
      <c r="G59" s="90">
        <f>+'Tuition-2Yr'!G59+'State Appropriations-2Yr'!G59+'Local Appropriations-2Yr'!G59+'Fed Contracts Grnts-2Yr'!G59+'Other Contracts Grnts-2Yr'!G59+'Investment Income-2Yr'!G59+'All Other E&amp;G-2Yr'!G59</f>
        <v>0</v>
      </c>
      <c r="H59" s="90">
        <f>+'Tuition-2Yr'!H59+'State Appropriations-2Yr'!H59+'Local Appropriations-2Yr'!H59+'Fed Contracts Grnts-2Yr'!H59+'Other Contracts Grnts-2Yr'!H59+'Investment Income-2Yr'!H59+'All Other E&amp;G-2Yr'!H59</f>
        <v>0</v>
      </c>
      <c r="I59" s="90">
        <f>+'Tuition-2Yr'!I59+'State Appropriations-2Yr'!I59+'Local Appropriations-2Yr'!I59+'Fed Contracts Grnts-2Yr'!I59+'Other Contracts Grnts-2Yr'!I59+'Investment Income-2Yr'!I59+'All Other E&amp;G-2Yr'!I59</f>
        <v>0</v>
      </c>
      <c r="J59" s="90">
        <f>+'Tuition-2Yr'!J59+'State Appropriations-2Yr'!J59+'Local Appropriations-2Yr'!J59+'Fed Contracts Grnts-2Yr'!J59+'Other Contracts Grnts-2Yr'!J59+'Investment Income-2Yr'!J59+'All Other E&amp;G-2Yr'!J59</f>
        <v>1125327.31</v>
      </c>
      <c r="K59" s="90">
        <f>+'Tuition-2Yr'!K59+'State Appropriations-2Yr'!K59+'Local Appropriations-2Yr'!K59+'Fed Contracts Grnts-2Yr'!K59+'Other Contracts Grnts-2Yr'!K59+'Investment Income-2Yr'!K59+'All Other E&amp;G-2Yr'!K59</f>
        <v>0</v>
      </c>
      <c r="L59" s="90">
        <f>+'Tuition-2Yr'!L59+'State Appropriations-2Yr'!L59+'Local Appropriations-2Yr'!L59+'Fed Contracts Grnts-2Yr'!L59+'Other Contracts Grnts-2Yr'!L59+'Investment Income-2Yr'!L59+'All Other E&amp;G-2Yr'!L59</f>
        <v>0</v>
      </c>
      <c r="M59" s="90">
        <f>+'Tuition-2Yr'!M59+'State Appropriations-2Yr'!M59+'Local Appropriations-2Yr'!M59+'Fed Contracts Grnts-2Yr'!M59+'Other Contracts Grnts-2Yr'!M59+'Investment Income-2Yr'!M59+'All Other E&amp;G-2Yr'!M59</f>
        <v>1379800.5880000002</v>
      </c>
      <c r="N59" s="90">
        <f>+'Tuition-2Yr'!N59+'State Appropriations-2Yr'!N59+'Local Appropriations-2Yr'!N59+'Fed Contracts Grnts-2Yr'!N59+'Other Contracts Grnts-2Yr'!N59+'Investment Income-2Yr'!N59+'All Other E&amp;G-2Yr'!N59</f>
        <v>0</v>
      </c>
      <c r="O59" s="90">
        <f>+'Tuition-2Yr'!O59+'State Appropriations-2Yr'!O59+'Local Appropriations-2Yr'!O59+'Fed Contracts Grnts-2Yr'!O59+'Other Contracts Grnts-2Yr'!O59+'Investment Income-2Yr'!O59+'All Other E&amp;G-2Yr'!O59</f>
        <v>1516697.23</v>
      </c>
      <c r="P59" s="90">
        <f>+'Tuition-2Yr'!P59+'State Appropriations-2Yr'!P59+'Local Appropriations-2Yr'!P59+'Fed Contracts Grnts-2Yr'!P59+'Other Contracts Grnts-2Yr'!P59+'Investment Income-2Yr'!P59+'All Other E&amp;G-2Yr'!P59</f>
        <v>0</v>
      </c>
      <c r="Q59" s="90">
        <f>+'Tuition-2Yr'!Q59+'State Appropriations-2Yr'!Q59+'Local Appropriations-2Yr'!Q59+'Fed Contracts Grnts-2Yr'!Q59+'Other Contracts Grnts-2Yr'!Q59+'Investment Income-2Yr'!Q59+'All Other E&amp;G-2Yr'!Q59</f>
        <v>0</v>
      </c>
      <c r="R59" s="90">
        <f>+'Tuition-2Yr'!R59+'State Appropriations-2Yr'!R59+'Local Appropriations-2Yr'!R59+'Fed Contracts Grnts-2Yr'!R59+'Other Contracts Grnts-2Yr'!R59+'Investment Income-2Yr'!R59+'All Other E&amp;G-2Yr'!R59</f>
        <v>1429187.3910000001</v>
      </c>
      <c r="S59" s="90">
        <f>+'Tuition-2Yr'!S59+'State Appropriations-2Yr'!S59+'Local Appropriations-2Yr'!S59+'Fed Contracts Grnts-2Yr'!S59+'Other Contracts Grnts-2Yr'!S59+'Investment Income-2Yr'!S59+'All Other E&amp;G-2Yr'!S59</f>
        <v>1723110.702</v>
      </c>
      <c r="T59" s="90">
        <f>+'Tuition-2Yr'!T59+'State Appropriations-2Yr'!T59+'Local Appropriations-2Yr'!T59+'Fed Contracts Grnts-2Yr'!T59+'Other Contracts Grnts-2Yr'!T59+'Investment Income-2Yr'!T59+'All Other E&amp;G-2Yr'!T59</f>
        <v>1930442.5499999998</v>
      </c>
      <c r="U59" s="90">
        <f>+'Tuition-2Yr'!U59+'State Appropriations-2Yr'!U59+'Local Appropriations-2Yr'!U59+'Fed Contracts Grnts-2Yr'!U59+'Other Contracts Grnts-2Yr'!U59+'Investment Income-2Yr'!U59+'All Other E&amp;G-2Yr'!U59</f>
        <v>1870543.7069999999</v>
      </c>
      <c r="V59" s="90">
        <f>+'Tuition-2Yr'!V59+'State Appropriations-2Yr'!V59+'Local Appropriations-2Yr'!V59+'Fed Contracts Grnts-2Yr'!V59+'Other Contracts Grnts-2Yr'!V59+'Investment Income-2Yr'!V59+'All Other E&amp;G-2Yr'!V59</f>
        <v>1957125.7519999999</v>
      </c>
      <c r="W59" s="90">
        <f>+'Tuition-2Yr'!W59+'State Appropriations-2Yr'!W59+'Local Appropriations-2Yr'!W59+'Fed Contracts Grnts-2Yr'!W59+'Other Contracts Grnts-2Yr'!W59+'Investment Income-2Yr'!W59+'All Other E&amp;G-2Yr'!W59</f>
        <v>2287353.0259999996</v>
      </c>
      <c r="X59" s="90">
        <f>+'Tuition-2Yr'!X59+'State Appropriations-2Yr'!X59+'Local Appropriations-2Yr'!X59+'Fed Contracts Grnts-2Yr'!X59+'Other Contracts Grnts-2Yr'!X59+'Investment Income-2Yr'!X59+'All Other E&amp;G-2Yr'!X59</f>
        <v>2152585.84</v>
      </c>
      <c r="Y59" s="90">
        <f>+'Tuition-2Yr'!Y59+'State Appropriations-2Yr'!Y59+'Local Appropriations-2Yr'!Y59+'Fed Contracts Grnts-2Yr'!Y59+'Other Contracts Grnts-2Yr'!Y59+'Investment Income-2Yr'!Y59+'All Other E&amp;G-2Yr'!Y59</f>
        <v>2226190.929</v>
      </c>
      <c r="Z59" s="90">
        <f>+'Tuition-2Yr'!Z59+'State Appropriations-2Yr'!Z59+'Local Appropriations-2Yr'!Z59+'Fed Contracts Grnts-2Yr'!Z59+'Other Contracts Grnts-2Yr'!Z59+'Investment Income-2Yr'!Z59+'All Other E&amp;G-2Yr'!Z59</f>
        <v>2420323.4169999999</v>
      </c>
      <c r="AA59" s="90">
        <f>+'Tuition-2Yr'!AA59+'State Appropriations-2Yr'!AA59+'Local Appropriations-2Yr'!AA59+'Fed Contracts Grnts-2Yr'!AA59+'Other Contracts Grnts-2Yr'!AA59+'Investment Income-2Yr'!AA59+'All Other E&amp;G-2Yr'!AA59</f>
        <v>2932649.8470000001</v>
      </c>
      <c r="AB59" s="90">
        <f>+'Tuition-2Yr'!AB59+'State Appropriations-2Yr'!AB59+'Local Appropriations-2Yr'!AB59+'Fed Contracts Grnts-2Yr'!AB59+'Other Contracts Grnts-2Yr'!AB59+'Investment Income-2Yr'!AB59+'All Other E&amp;G-2Yr'!AB59</f>
        <v>3249252.58</v>
      </c>
      <c r="AC59" s="90">
        <f>+'Tuition-2Yr'!AC59+'State Appropriations-2Yr'!AC59+'Local Appropriations-2Yr'!AC59+'Fed Contracts Grnts-2Yr'!AC59+'Other Contracts Grnts-2Yr'!AC59+'Investment Income-2Yr'!AC59+'All Other E&amp;G-2Yr'!AC59</f>
        <v>3402305</v>
      </c>
      <c r="AD59" s="90">
        <f>+'Tuition-2Yr'!AD59+'State Appropriations-2Yr'!AD59+'Local Appropriations-2Yr'!AD59+'Fed Contracts Grnts-2Yr'!AD59+'Other Contracts Grnts-2Yr'!AD59+'Investment Income-2Yr'!AD59+'All Other E&amp;G-2Yr'!AD59</f>
        <v>3553499.9960000003</v>
      </c>
      <c r="AE59" s="90">
        <f>+'Tuition-2Yr'!AE59+'State Appropriations-2Yr'!AE59+'Local Appropriations-2Yr'!AE59+'Fed Contracts Grnts-2Yr'!AE59+'Other Contracts Grnts-2Yr'!AE59+'Investment Income-2Yr'!AE59+'All Other E&amp;G-2Yr'!AE59</f>
        <v>3677872.9130000002</v>
      </c>
      <c r="AF59" s="90">
        <f>+'Tuition-2Yr'!AF59+'State Appropriations-2Yr'!AF59+'Local Appropriations-2Yr'!AF59+'Fed Contracts Grnts-2Yr'!AF59+'Other Contracts Grnts-2Yr'!AF59+'Investment Income-2Yr'!AF59+'All Other E&amp;G-2Yr'!AF59</f>
        <v>3768154.1700000004</v>
      </c>
      <c r="AG59" s="90">
        <f>+'Tuition-2Yr'!AG59+'State Appropriations-2Yr'!AG59+'Local Appropriations-2Yr'!AG59+'Fed Contracts Grnts-2Yr'!AG59+'Other Contracts Grnts-2Yr'!AG59+'Investment Income-2Yr'!AG59+'All Other E&amp;G-2Yr'!AG59</f>
        <v>3838865.2659999998</v>
      </c>
      <c r="AH59" s="90">
        <f>+'Tuition-2Yr'!AH59+'State Appropriations-2Yr'!AH59+'Local Appropriations-2Yr'!AH59+'Fed Contracts Grnts-2Yr'!AH59+'Other Contracts Grnts-2Yr'!AH59+'Investment Income-2Yr'!AH59+'All Other E&amp;G-2Yr'!AH59</f>
        <v>3836808.3829999994</v>
      </c>
      <c r="AI59" s="90">
        <f>+'Tuition-2Yr'!AI59+'State Appropriations-2Yr'!AI59+'Local Appropriations-2Yr'!AI59+'Fed Contracts Grnts-2Yr'!AI59+'Other Contracts Grnts-2Yr'!AI59+'Investment Income-2Yr'!AI59+'All Other E&amp;G-2Yr'!AI59</f>
        <v>3801603.6350000002</v>
      </c>
      <c r="AJ59" s="90">
        <f>+'Tuition-2Yr'!AJ59+'State Appropriations-2Yr'!AJ59+'Local Appropriations-2Yr'!AJ59+'Fed Contracts Grnts-2Yr'!AJ59+'Other Contracts Grnts-2Yr'!AJ59+'Investment Income-2Yr'!AJ59+'All Other E&amp;G-2Yr'!AJ59</f>
        <v>0</v>
      </c>
      <c r="AK59" s="90">
        <f>+'Tuition-2Yr'!AK59+'State Appropriations-2Yr'!AK59+'Local Appropriations-2Yr'!AK59+'Fed Contracts Grnts-2Yr'!AK59+'Other Contracts Grnts-2Yr'!AK59+'Investment Income-2Yr'!AK59+'All Other E&amp;G-2Yr'!AK59</f>
        <v>4115216.0359999998</v>
      </c>
    </row>
    <row r="60" spans="1:37" ht="12.75" customHeight="1">
      <c r="A60" s="1" t="s">
        <v>71</v>
      </c>
      <c r="B60" s="90">
        <f>+'Tuition-2Yr'!B60+'State Appropriations-2Yr'!B60+'Local Appropriations-2Yr'!B60+'Fed Contracts Grnts-2Yr'!B60+'Other Contracts Grnts-2Yr'!B60+'Investment Income-2Yr'!B60+'All Other E&amp;G-2Yr'!B60</f>
        <v>0</v>
      </c>
      <c r="C60" s="90">
        <f>+'Tuition-2Yr'!C60+'State Appropriations-2Yr'!C60+'Local Appropriations-2Yr'!C60+'Fed Contracts Grnts-2Yr'!C60+'Other Contracts Grnts-2Yr'!C60+'Investment Income-2Yr'!C60+'All Other E&amp;G-2Yr'!C60</f>
        <v>0</v>
      </c>
      <c r="D60" s="90">
        <f>+'Tuition-2Yr'!D60+'State Appropriations-2Yr'!D60+'Local Appropriations-2Yr'!D60+'Fed Contracts Grnts-2Yr'!D60+'Other Contracts Grnts-2Yr'!D60+'Investment Income-2Yr'!D60+'All Other E&amp;G-2Yr'!D60</f>
        <v>0</v>
      </c>
      <c r="E60" s="90">
        <f>+'Tuition-2Yr'!E60+'State Appropriations-2Yr'!E60+'Local Appropriations-2Yr'!E60+'Fed Contracts Grnts-2Yr'!E60+'Other Contracts Grnts-2Yr'!E60+'Investment Income-2Yr'!E60+'All Other E&amp;G-2Yr'!E60</f>
        <v>0</v>
      </c>
      <c r="F60" s="90">
        <f>+'Tuition-2Yr'!F60+'State Appropriations-2Yr'!F60+'Local Appropriations-2Yr'!F60+'Fed Contracts Grnts-2Yr'!F60+'Other Contracts Grnts-2Yr'!F60+'Investment Income-2Yr'!F60+'All Other E&amp;G-2Yr'!F60</f>
        <v>0</v>
      </c>
      <c r="G60" s="90">
        <f>+'Tuition-2Yr'!G60+'State Appropriations-2Yr'!G60+'Local Appropriations-2Yr'!G60+'Fed Contracts Grnts-2Yr'!G60+'Other Contracts Grnts-2Yr'!G60+'Investment Income-2Yr'!G60+'All Other E&amp;G-2Yr'!G60</f>
        <v>0</v>
      </c>
      <c r="H60" s="90">
        <f>+'Tuition-2Yr'!H60+'State Appropriations-2Yr'!H60+'Local Appropriations-2Yr'!H60+'Fed Contracts Grnts-2Yr'!H60+'Other Contracts Grnts-2Yr'!H60+'Investment Income-2Yr'!H60+'All Other E&amp;G-2Yr'!H60</f>
        <v>0</v>
      </c>
      <c r="I60" s="90">
        <f>+'Tuition-2Yr'!I60+'State Appropriations-2Yr'!I60+'Local Appropriations-2Yr'!I60+'Fed Contracts Grnts-2Yr'!I60+'Other Contracts Grnts-2Yr'!I60+'Investment Income-2Yr'!I60+'All Other E&amp;G-2Yr'!I60</f>
        <v>0</v>
      </c>
      <c r="J60" s="90">
        <f>+'Tuition-2Yr'!J60+'State Appropriations-2Yr'!J60+'Local Appropriations-2Yr'!J60+'Fed Contracts Grnts-2Yr'!J60+'Other Contracts Grnts-2Yr'!J60+'Investment Income-2Yr'!J60+'All Other E&amp;G-2Yr'!J60</f>
        <v>401949.53399999999</v>
      </c>
      <c r="K60" s="90">
        <f>+'Tuition-2Yr'!K60+'State Appropriations-2Yr'!K60+'Local Appropriations-2Yr'!K60+'Fed Contracts Grnts-2Yr'!K60+'Other Contracts Grnts-2Yr'!K60+'Investment Income-2Yr'!K60+'All Other E&amp;G-2Yr'!K60</f>
        <v>0</v>
      </c>
      <c r="L60" s="90">
        <f>+'Tuition-2Yr'!L60+'State Appropriations-2Yr'!L60+'Local Appropriations-2Yr'!L60+'Fed Contracts Grnts-2Yr'!L60+'Other Contracts Grnts-2Yr'!L60+'Investment Income-2Yr'!L60+'All Other E&amp;G-2Yr'!L60</f>
        <v>0</v>
      </c>
      <c r="M60" s="90">
        <f>+'Tuition-2Yr'!M60+'State Appropriations-2Yr'!M60+'Local Appropriations-2Yr'!M60+'Fed Contracts Grnts-2Yr'!M60+'Other Contracts Grnts-2Yr'!M60+'Investment Income-2Yr'!M60+'All Other E&amp;G-2Yr'!M60</f>
        <v>461273.17800000007</v>
      </c>
      <c r="N60" s="90">
        <f>+'Tuition-2Yr'!N60+'State Appropriations-2Yr'!N60+'Local Appropriations-2Yr'!N60+'Fed Contracts Grnts-2Yr'!N60+'Other Contracts Grnts-2Yr'!N60+'Investment Income-2Yr'!N60+'All Other E&amp;G-2Yr'!N60</f>
        <v>0</v>
      </c>
      <c r="O60" s="90">
        <f>+'Tuition-2Yr'!O60+'State Appropriations-2Yr'!O60+'Local Appropriations-2Yr'!O60+'Fed Contracts Grnts-2Yr'!O60+'Other Contracts Grnts-2Yr'!O60+'Investment Income-2Yr'!O60+'All Other E&amp;G-2Yr'!O60</f>
        <v>485308.32619000005</v>
      </c>
      <c r="P60" s="90">
        <f>+'Tuition-2Yr'!P60+'State Appropriations-2Yr'!P60+'Local Appropriations-2Yr'!P60+'Fed Contracts Grnts-2Yr'!P60+'Other Contracts Grnts-2Yr'!P60+'Investment Income-2Yr'!P60+'All Other E&amp;G-2Yr'!P60</f>
        <v>0</v>
      </c>
      <c r="Q60" s="90">
        <f>+'Tuition-2Yr'!Q60+'State Appropriations-2Yr'!Q60+'Local Appropriations-2Yr'!Q60+'Fed Contracts Grnts-2Yr'!Q60+'Other Contracts Grnts-2Yr'!Q60+'Investment Income-2Yr'!Q60+'All Other E&amp;G-2Yr'!Q60</f>
        <v>0</v>
      </c>
      <c r="R60" s="90">
        <f>+'Tuition-2Yr'!R60+'State Appropriations-2Yr'!R60+'Local Appropriations-2Yr'!R60+'Fed Contracts Grnts-2Yr'!R60+'Other Contracts Grnts-2Yr'!R60+'Investment Income-2Yr'!R60+'All Other E&amp;G-2Yr'!R60</f>
        <v>537710.66500000004</v>
      </c>
      <c r="S60" s="90">
        <f>+'Tuition-2Yr'!S60+'State Appropriations-2Yr'!S60+'Local Appropriations-2Yr'!S60+'Fed Contracts Grnts-2Yr'!S60+'Other Contracts Grnts-2Yr'!S60+'Investment Income-2Yr'!S60+'All Other E&amp;G-2Yr'!S60</f>
        <v>574046.20100000012</v>
      </c>
      <c r="T60" s="90">
        <f>+'Tuition-2Yr'!T60+'State Appropriations-2Yr'!T60+'Local Appropriations-2Yr'!T60+'Fed Contracts Grnts-2Yr'!T60+'Other Contracts Grnts-2Yr'!T60+'Investment Income-2Yr'!T60+'All Other E&amp;G-2Yr'!T60</f>
        <v>651564.95499999996</v>
      </c>
      <c r="U60" s="90">
        <f>+'Tuition-2Yr'!U60+'State Appropriations-2Yr'!U60+'Local Appropriations-2Yr'!U60+'Fed Contracts Grnts-2Yr'!U60+'Other Contracts Grnts-2Yr'!U60+'Investment Income-2Yr'!U60+'All Other E&amp;G-2Yr'!U60</f>
        <v>675299.44299999997</v>
      </c>
      <c r="V60" s="90">
        <f>+'Tuition-2Yr'!V60+'State Appropriations-2Yr'!V60+'Local Appropriations-2Yr'!V60+'Fed Contracts Grnts-2Yr'!V60+'Other Contracts Grnts-2Yr'!V60+'Investment Income-2Yr'!V60+'All Other E&amp;G-2Yr'!V60</f>
        <v>723231.76400000008</v>
      </c>
      <c r="W60" s="90">
        <f>+'Tuition-2Yr'!W60+'State Appropriations-2Yr'!W60+'Local Appropriations-2Yr'!W60+'Fed Contracts Grnts-2Yr'!W60+'Other Contracts Grnts-2Yr'!W60+'Investment Income-2Yr'!W60+'All Other E&amp;G-2Yr'!W60</f>
        <v>823674.75399999996</v>
      </c>
      <c r="X60" s="90">
        <f>+'Tuition-2Yr'!X60+'State Appropriations-2Yr'!X60+'Local Appropriations-2Yr'!X60+'Fed Contracts Grnts-2Yr'!X60+'Other Contracts Grnts-2Yr'!X60+'Investment Income-2Yr'!X60+'All Other E&amp;G-2Yr'!X60</f>
        <v>825802.75499999989</v>
      </c>
      <c r="Y60" s="90">
        <f>+'Tuition-2Yr'!Y60+'State Appropriations-2Yr'!Y60+'Local Appropriations-2Yr'!Y60+'Fed Contracts Grnts-2Yr'!Y60+'Other Contracts Grnts-2Yr'!Y60+'Investment Income-2Yr'!Y60+'All Other E&amp;G-2Yr'!Y60</f>
        <v>865346.65299999993</v>
      </c>
      <c r="Z60" s="90">
        <f>+'Tuition-2Yr'!Z60+'State Appropriations-2Yr'!Z60+'Local Appropriations-2Yr'!Z60+'Fed Contracts Grnts-2Yr'!Z60+'Other Contracts Grnts-2Yr'!Z60+'Investment Income-2Yr'!Z60+'All Other E&amp;G-2Yr'!Z60</f>
        <v>910215.87899999996</v>
      </c>
      <c r="AA60" s="90">
        <f>+'Tuition-2Yr'!AA60+'State Appropriations-2Yr'!AA60+'Local Appropriations-2Yr'!AA60+'Fed Contracts Grnts-2Yr'!AA60+'Other Contracts Grnts-2Yr'!AA60+'Investment Income-2Yr'!AA60+'All Other E&amp;G-2Yr'!AA60</f>
        <v>1045864.769</v>
      </c>
      <c r="AB60" s="90">
        <f>+'Tuition-2Yr'!AB60+'State Appropriations-2Yr'!AB60+'Local Appropriations-2Yr'!AB60+'Fed Contracts Grnts-2Yr'!AB60+'Other Contracts Grnts-2Yr'!AB60+'Investment Income-2Yr'!AB60+'All Other E&amp;G-2Yr'!AB60</f>
        <v>1187414.8160000001</v>
      </c>
      <c r="AC60" s="90">
        <f>+'Tuition-2Yr'!AC60+'State Appropriations-2Yr'!AC60+'Local Appropriations-2Yr'!AC60+'Fed Contracts Grnts-2Yr'!AC60+'Other Contracts Grnts-2Yr'!AC60+'Investment Income-2Yr'!AC60+'All Other E&amp;G-2Yr'!AC60</f>
        <v>1272693</v>
      </c>
      <c r="AD60" s="90">
        <f>+'Tuition-2Yr'!AD60+'State Appropriations-2Yr'!AD60+'Local Appropriations-2Yr'!AD60+'Fed Contracts Grnts-2Yr'!AD60+'Other Contracts Grnts-2Yr'!AD60+'Investment Income-2Yr'!AD60+'All Other E&amp;G-2Yr'!AD60</f>
        <v>1261270.1470000001</v>
      </c>
      <c r="AE60" s="90">
        <f>+'Tuition-2Yr'!AE60+'State Appropriations-2Yr'!AE60+'Local Appropriations-2Yr'!AE60+'Fed Contracts Grnts-2Yr'!AE60+'Other Contracts Grnts-2Yr'!AE60+'Investment Income-2Yr'!AE60+'All Other E&amp;G-2Yr'!AE60</f>
        <v>1280437.1680000001</v>
      </c>
      <c r="AF60" s="90">
        <f>+'Tuition-2Yr'!AF60+'State Appropriations-2Yr'!AF60+'Local Appropriations-2Yr'!AF60+'Fed Contracts Grnts-2Yr'!AF60+'Other Contracts Grnts-2Yr'!AF60+'Investment Income-2Yr'!AF60+'All Other E&amp;G-2Yr'!AF60</f>
        <v>1258415.3469999998</v>
      </c>
      <c r="AG60" s="90">
        <f>+'Tuition-2Yr'!AG60+'State Appropriations-2Yr'!AG60+'Local Appropriations-2Yr'!AG60+'Fed Contracts Grnts-2Yr'!AG60+'Other Contracts Grnts-2Yr'!AG60+'Investment Income-2Yr'!AG60+'All Other E&amp;G-2Yr'!AG60</f>
        <v>1266849.9990000001</v>
      </c>
      <c r="AH60" s="90">
        <f>+'Tuition-2Yr'!AH60+'State Appropriations-2Yr'!AH60+'Local Appropriations-2Yr'!AH60+'Fed Contracts Grnts-2Yr'!AH60+'Other Contracts Grnts-2Yr'!AH60+'Investment Income-2Yr'!AH60+'All Other E&amp;G-2Yr'!AH60</f>
        <v>1255546.406</v>
      </c>
      <c r="AI60" s="90">
        <f>+'Tuition-2Yr'!AI60+'State Appropriations-2Yr'!AI60+'Local Appropriations-2Yr'!AI60+'Fed Contracts Grnts-2Yr'!AI60+'Other Contracts Grnts-2Yr'!AI60+'Investment Income-2Yr'!AI60+'All Other E&amp;G-2Yr'!AI60</f>
        <v>1269911.176</v>
      </c>
      <c r="AJ60" s="90">
        <f>+'Tuition-2Yr'!AJ60+'State Appropriations-2Yr'!AJ60+'Local Appropriations-2Yr'!AJ60+'Fed Contracts Grnts-2Yr'!AJ60+'Other Contracts Grnts-2Yr'!AJ60+'Investment Income-2Yr'!AJ60+'All Other E&amp;G-2Yr'!AJ60</f>
        <v>0</v>
      </c>
      <c r="AK60" s="90">
        <f>+'Tuition-2Yr'!AK60+'State Appropriations-2Yr'!AK60+'Local Appropriations-2Yr'!AK60+'Fed Contracts Grnts-2Yr'!AK60+'Other Contracts Grnts-2Yr'!AK60+'Investment Income-2Yr'!AK60+'All Other E&amp;G-2Yr'!AK60</f>
        <v>1385816.0899999999</v>
      </c>
    </row>
    <row r="61" spans="1:37" ht="12.75" customHeight="1">
      <c r="A61" s="1" t="s">
        <v>72</v>
      </c>
      <c r="B61" s="90">
        <f>+'Tuition-2Yr'!B61+'State Appropriations-2Yr'!B61+'Local Appropriations-2Yr'!B61+'Fed Contracts Grnts-2Yr'!B61+'Other Contracts Grnts-2Yr'!B61+'Investment Income-2Yr'!B61+'All Other E&amp;G-2Yr'!B61</f>
        <v>0</v>
      </c>
      <c r="C61" s="90">
        <f>+'Tuition-2Yr'!C61+'State Appropriations-2Yr'!C61+'Local Appropriations-2Yr'!C61+'Fed Contracts Grnts-2Yr'!C61+'Other Contracts Grnts-2Yr'!C61+'Investment Income-2Yr'!C61+'All Other E&amp;G-2Yr'!C61</f>
        <v>0</v>
      </c>
      <c r="D61" s="90">
        <f>+'Tuition-2Yr'!D61+'State Appropriations-2Yr'!D61+'Local Appropriations-2Yr'!D61+'Fed Contracts Grnts-2Yr'!D61+'Other Contracts Grnts-2Yr'!D61+'Investment Income-2Yr'!D61+'All Other E&amp;G-2Yr'!D61</f>
        <v>0</v>
      </c>
      <c r="E61" s="90">
        <f>+'Tuition-2Yr'!E61+'State Appropriations-2Yr'!E61+'Local Appropriations-2Yr'!E61+'Fed Contracts Grnts-2Yr'!E61+'Other Contracts Grnts-2Yr'!E61+'Investment Income-2Yr'!E61+'All Other E&amp;G-2Yr'!E61</f>
        <v>0</v>
      </c>
      <c r="F61" s="90">
        <f>+'Tuition-2Yr'!F61+'State Appropriations-2Yr'!F61+'Local Appropriations-2Yr'!F61+'Fed Contracts Grnts-2Yr'!F61+'Other Contracts Grnts-2Yr'!F61+'Investment Income-2Yr'!F61+'All Other E&amp;G-2Yr'!F61</f>
        <v>0</v>
      </c>
      <c r="G61" s="90">
        <f>+'Tuition-2Yr'!G61+'State Appropriations-2Yr'!G61+'Local Appropriations-2Yr'!G61+'Fed Contracts Grnts-2Yr'!G61+'Other Contracts Grnts-2Yr'!G61+'Investment Income-2Yr'!G61+'All Other E&amp;G-2Yr'!G61</f>
        <v>0</v>
      </c>
      <c r="H61" s="90">
        <f>+'Tuition-2Yr'!H61+'State Appropriations-2Yr'!H61+'Local Appropriations-2Yr'!H61+'Fed Contracts Grnts-2Yr'!H61+'Other Contracts Grnts-2Yr'!H61+'Investment Income-2Yr'!H61+'All Other E&amp;G-2Yr'!H61</f>
        <v>0</v>
      </c>
      <c r="I61" s="90">
        <f>+'Tuition-2Yr'!I61+'State Appropriations-2Yr'!I61+'Local Appropriations-2Yr'!I61+'Fed Contracts Grnts-2Yr'!I61+'Other Contracts Grnts-2Yr'!I61+'Investment Income-2Yr'!I61+'All Other E&amp;G-2Yr'!I61</f>
        <v>0</v>
      </c>
      <c r="J61" s="90">
        <f>+'Tuition-2Yr'!J61+'State Appropriations-2Yr'!J61+'Local Appropriations-2Yr'!J61+'Fed Contracts Grnts-2Yr'!J61+'Other Contracts Grnts-2Yr'!J61+'Investment Income-2Yr'!J61+'All Other E&amp;G-2Yr'!J61</f>
        <v>52629.353000000003</v>
      </c>
      <c r="K61" s="90">
        <f>+'Tuition-2Yr'!K61+'State Appropriations-2Yr'!K61+'Local Appropriations-2Yr'!K61+'Fed Contracts Grnts-2Yr'!K61+'Other Contracts Grnts-2Yr'!K61+'Investment Income-2Yr'!K61+'All Other E&amp;G-2Yr'!K61</f>
        <v>0</v>
      </c>
      <c r="L61" s="90">
        <f>+'Tuition-2Yr'!L61+'State Appropriations-2Yr'!L61+'Local Appropriations-2Yr'!L61+'Fed Contracts Grnts-2Yr'!L61+'Other Contracts Grnts-2Yr'!L61+'Investment Income-2Yr'!L61+'All Other E&amp;G-2Yr'!L61</f>
        <v>0</v>
      </c>
      <c r="M61" s="90">
        <f>+'Tuition-2Yr'!M61+'State Appropriations-2Yr'!M61+'Local Appropriations-2Yr'!M61+'Fed Contracts Grnts-2Yr'!M61+'Other Contracts Grnts-2Yr'!M61+'Investment Income-2Yr'!M61+'All Other E&amp;G-2Yr'!M61</f>
        <v>58053.100999999995</v>
      </c>
      <c r="N61" s="90">
        <f>+'Tuition-2Yr'!N61+'State Appropriations-2Yr'!N61+'Local Appropriations-2Yr'!N61+'Fed Contracts Grnts-2Yr'!N61+'Other Contracts Grnts-2Yr'!N61+'Investment Income-2Yr'!N61+'All Other E&amp;G-2Yr'!N61</f>
        <v>0</v>
      </c>
      <c r="O61" s="90">
        <f>+'Tuition-2Yr'!O61+'State Appropriations-2Yr'!O61+'Local Appropriations-2Yr'!O61+'Fed Contracts Grnts-2Yr'!O61+'Other Contracts Grnts-2Yr'!O61+'Investment Income-2Yr'!O61+'All Other E&amp;G-2Yr'!O61</f>
        <v>58993.1</v>
      </c>
      <c r="P61" s="90">
        <f>+'Tuition-2Yr'!P61+'State Appropriations-2Yr'!P61+'Local Appropriations-2Yr'!P61+'Fed Contracts Grnts-2Yr'!P61+'Other Contracts Grnts-2Yr'!P61+'Investment Income-2Yr'!P61+'All Other E&amp;G-2Yr'!P61</f>
        <v>0</v>
      </c>
      <c r="Q61" s="90">
        <f>+'Tuition-2Yr'!Q61+'State Appropriations-2Yr'!Q61+'Local Appropriations-2Yr'!Q61+'Fed Contracts Grnts-2Yr'!Q61+'Other Contracts Grnts-2Yr'!Q61+'Investment Income-2Yr'!Q61+'All Other E&amp;G-2Yr'!Q61</f>
        <v>0</v>
      </c>
      <c r="R61" s="90">
        <f>+'Tuition-2Yr'!R61+'State Appropriations-2Yr'!R61+'Local Appropriations-2Yr'!R61+'Fed Contracts Grnts-2Yr'!R61+'Other Contracts Grnts-2Yr'!R61+'Investment Income-2Yr'!R61+'All Other E&amp;G-2Yr'!R61</f>
        <v>65087.056000000011</v>
      </c>
      <c r="S61" s="90">
        <f>+'Tuition-2Yr'!S61+'State Appropriations-2Yr'!S61+'Local Appropriations-2Yr'!S61+'Fed Contracts Grnts-2Yr'!S61+'Other Contracts Grnts-2Yr'!S61+'Investment Income-2Yr'!S61+'All Other E&amp;G-2Yr'!S61</f>
        <v>68539.887000000002</v>
      </c>
      <c r="T61" s="90">
        <f>+'Tuition-2Yr'!T61+'State Appropriations-2Yr'!T61+'Local Appropriations-2Yr'!T61+'Fed Contracts Grnts-2Yr'!T61+'Other Contracts Grnts-2Yr'!T61+'Investment Income-2Yr'!T61+'All Other E&amp;G-2Yr'!T61</f>
        <v>74636.877000000008</v>
      </c>
      <c r="U61" s="90">
        <f>+'Tuition-2Yr'!U61+'State Appropriations-2Yr'!U61+'Local Appropriations-2Yr'!U61+'Fed Contracts Grnts-2Yr'!U61+'Other Contracts Grnts-2Yr'!U61+'Investment Income-2Yr'!U61+'All Other E&amp;G-2Yr'!U61</f>
        <v>72377.593999999997</v>
      </c>
      <c r="V61" s="90">
        <f>+'Tuition-2Yr'!V61+'State Appropriations-2Yr'!V61+'Local Appropriations-2Yr'!V61+'Fed Contracts Grnts-2Yr'!V61+'Other Contracts Grnts-2Yr'!V61+'Investment Income-2Yr'!V61+'All Other E&amp;G-2Yr'!V61</f>
        <v>76872.830999999991</v>
      </c>
      <c r="W61" s="90">
        <f>+'Tuition-2Yr'!W61+'State Appropriations-2Yr'!W61+'Local Appropriations-2Yr'!W61+'Fed Contracts Grnts-2Yr'!W61+'Other Contracts Grnts-2Yr'!W61+'Investment Income-2Yr'!W61+'All Other E&amp;G-2Yr'!W61</f>
        <v>86714.111000000004</v>
      </c>
      <c r="X61" s="90">
        <f>+'Tuition-2Yr'!X61+'State Appropriations-2Yr'!X61+'Local Appropriations-2Yr'!X61+'Fed Contracts Grnts-2Yr'!X61+'Other Contracts Grnts-2Yr'!X61+'Investment Income-2Yr'!X61+'All Other E&amp;G-2Yr'!X61</f>
        <v>85215.668999999994</v>
      </c>
      <c r="Y61" s="90">
        <f>+'Tuition-2Yr'!Y61+'State Appropriations-2Yr'!Y61+'Local Appropriations-2Yr'!Y61+'Fed Contracts Grnts-2Yr'!Y61+'Other Contracts Grnts-2Yr'!Y61+'Investment Income-2Yr'!Y61+'All Other E&amp;G-2Yr'!Y61</f>
        <v>90988.959000000003</v>
      </c>
      <c r="Z61" s="90">
        <f>+'Tuition-2Yr'!Z61+'State Appropriations-2Yr'!Z61+'Local Appropriations-2Yr'!Z61+'Fed Contracts Grnts-2Yr'!Z61+'Other Contracts Grnts-2Yr'!Z61+'Investment Income-2Yr'!Z61+'All Other E&amp;G-2Yr'!Z61</f>
        <v>98502.294999999998</v>
      </c>
      <c r="AA61" s="90">
        <f>+'Tuition-2Yr'!AA61+'State Appropriations-2Yr'!AA61+'Local Appropriations-2Yr'!AA61+'Fed Contracts Grnts-2Yr'!AA61+'Other Contracts Grnts-2Yr'!AA61+'Investment Income-2Yr'!AA61+'All Other E&amp;G-2Yr'!AA61</f>
        <v>111734.29800000001</v>
      </c>
      <c r="AB61" s="90">
        <f>+'Tuition-2Yr'!AB61+'State Appropriations-2Yr'!AB61+'Local Appropriations-2Yr'!AB61+'Fed Contracts Grnts-2Yr'!AB61+'Other Contracts Grnts-2Yr'!AB61+'Investment Income-2Yr'!AB61+'All Other E&amp;G-2Yr'!AB61</f>
        <v>116922.364</v>
      </c>
      <c r="AC61" s="90">
        <f>+'Tuition-2Yr'!AC61+'State Appropriations-2Yr'!AC61+'Local Appropriations-2Yr'!AC61+'Fed Contracts Grnts-2Yr'!AC61+'Other Contracts Grnts-2Yr'!AC61+'Investment Income-2Yr'!AC61+'All Other E&amp;G-2Yr'!AC61</f>
        <v>128954</v>
      </c>
      <c r="AD61" s="90">
        <f>+'Tuition-2Yr'!AD61+'State Appropriations-2Yr'!AD61+'Local Appropriations-2Yr'!AD61+'Fed Contracts Grnts-2Yr'!AD61+'Other Contracts Grnts-2Yr'!AD61+'Investment Income-2Yr'!AD61+'All Other E&amp;G-2Yr'!AD61</f>
        <v>138522.625</v>
      </c>
      <c r="AE61" s="90">
        <f>+'Tuition-2Yr'!AE61+'State Appropriations-2Yr'!AE61+'Local Appropriations-2Yr'!AE61+'Fed Contracts Grnts-2Yr'!AE61+'Other Contracts Grnts-2Yr'!AE61+'Investment Income-2Yr'!AE61+'All Other E&amp;G-2Yr'!AE61</f>
        <v>137348.83000000002</v>
      </c>
      <c r="AF61" s="90">
        <f>+'Tuition-2Yr'!AF61+'State Appropriations-2Yr'!AF61+'Local Appropriations-2Yr'!AF61+'Fed Contracts Grnts-2Yr'!AF61+'Other Contracts Grnts-2Yr'!AF61+'Investment Income-2Yr'!AF61+'All Other E&amp;G-2Yr'!AF61</f>
        <v>137500.23400000003</v>
      </c>
      <c r="AG61" s="90">
        <f>+'Tuition-2Yr'!AG61+'State Appropriations-2Yr'!AG61+'Local Appropriations-2Yr'!AG61+'Fed Contracts Grnts-2Yr'!AG61+'Other Contracts Grnts-2Yr'!AG61+'Investment Income-2Yr'!AG61+'All Other E&amp;G-2Yr'!AG61</f>
        <v>136159.93299999999</v>
      </c>
      <c r="AH61" s="90">
        <f>+'Tuition-2Yr'!AH61+'State Appropriations-2Yr'!AH61+'Local Appropriations-2Yr'!AH61+'Fed Contracts Grnts-2Yr'!AH61+'Other Contracts Grnts-2Yr'!AH61+'Investment Income-2Yr'!AH61+'All Other E&amp;G-2Yr'!AH61</f>
        <v>139343.32599999997</v>
      </c>
      <c r="AI61" s="90">
        <f>+'Tuition-2Yr'!AI61+'State Appropriations-2Yr'!AI61+'Local Appropriations-2Yr'!AI61+'Fed Contracts Grnts-2Yr'!AI61+'Other Contracts Grnts-2Yr'!AI61+'Investment Income-2Yr'!AI61+'All Other E&amp;G-2Yr'!AI61</f>
        <v>136134.10399999999</v>
      </c>
      <c r="AJ61" s="90">
        <f>+'Tuition-2Yr'!AJ61+'State Appropriations-2Yr'!AJ61+'Local Appropriations-2Yr'!AJ61+'Fed Contracts Grnts-2Yr'!AJ61+'Other Contracts Grnts-2Yr'!AJ61+'Investment Income-2Yr'!AJ61+'All Other E&amp;G-2Yr'!AJ61</f>
        <v>0</v>
      </c>
      <c r="AK61" s="90">
        <f>+'Tuition-2Yr'!AK61+'State Appropriations-2Yr'!AK61+'Local Appropriations-2Yr'!AK61+'Fed Contracts Grnts-2Yr'!AK61+'Other Contracts Grnts-2Yr'!AK61+'Investment Income-2Yr'!AK61+'All Other E&amp;G-2Yr'!AK61</f>
        <v>156895.84800000003</v>
      </c>
    </row>
    <row r="62" spans="1:37" ht="12.75" customHeight="1">
      <c r="A62" s="30" t="s">
        <v>73</v>
      </c>
      <c r="B62" s="91">
        <f>+'Tuition-2Yr'!B62+'State Appropriations-2Yr'!B62+'Local Appropriations-2Yr'!B62+'Fed Contracts Grnts-2Yr'!B62+'Other Contracts Grnts-2Yr'!B62+'Investment Income-2Yr'!B62+'All Other E&amp;G-2Yr'!B62</f>
        <v>0</v>
      </c>
      <c r="C62" s="91">
        <f>+'Tuition-2Yr'!C62+'State Appropriations-2Yr'!C62+'Local Appropriations-2Yr'!C62+'Fed Contracts Grnts-2Yr'!C62+'Other Contracts Grnts-2Yr'!C62+'Investment Income-2Yr'!C62+'All Other E&amp;G-2Yr'!C62</f>
        <v>0</v>
      </c>
      <c r="D62" s="91">
        <f>+'Tuition-2Yr'!D62+'State Appropriations-2Yr'!D62+'Local Appropriations-2Yr'!D62+'Fed Contracts Grnts-2Yr'!D62+'Other Contracts Grnts-2Yr'!D62+'Investment Income-2Yr'!D62+'All Other E&amp;G-2Yr'!D62</f>
        <v>0</v>
      </c>
      <c r="E62" s="91">
        <f>+'Tuition-2Yr'!E62+'State Appropriations-2Yr'!E62+'Local Appropriations-2Yr'!E62+'Fed Contracts Grnts-2Yr'!E62+'Other Contracts Grnts-2Yr'!E62+'Investment Income-2Yr'!E62+'All Other E&amp;G-2Yr'!E62</f>
        <v>0</v>
      </c>
      <c r="F62" s="91">
        <f>+'Tuition-2Yr'!F62+'State Appropriations-2Yr'!F62+'Local Appropriations-2Yr'!F62+'Fed Contracts Grnts-2Yr'!F62+'Other Contracts Grnts-2Yr'!F62+'Investment Income-2Yr'!F62+'All Other E&amp;G-2Yr'!F62</f>
        <v>0</v>
      </c>
      <c r="G62" s="91">
        <f>+'Tuition-2Yr'!G62+'State Appropriations-2Yr'!G62+'Local Appropriations-2Yr'!G62+'Fed Contracts Grnts-2Yr'!G62+'Other Contracts Grnts-2Yr'!G62+'Investment Income-2Yr'!G62+'All Other E&amp;G-2Yr'!G62</f>
        <v>0</v>
      </c>
      <c r="H62" s="91">
        <f>+'Tuition-2Yr'!H62+'State Appropriations-2Yr'!H62+'Local Appropriations-2Yr'!H62+'Fed Contracts Grnts-2Yr'!H62+'Other Contracts Grnts-2Yr'!H62+'Investment Income-2Yr'!H62+'All Other E&amp;G-2Yr'!H62</f>
        <v>0</v>
      </c>
      <c r="I62" s="91">
        <f>+'Tuition-2Yr'!I62+'State Appropriations-2Yr'!I62+'Local Appropriations-2Yr'!I62+'Fed Contracts Grnts-2Yr'!I62+'Other Contracts Grnts-2Yr'!I62+'Investment Income-2Yr'!I62+'All Other E&amp;G-2Yr'!I62</f>
        <v>0</v>
      </c>
      <c r="J62" s="91">
        <f>+'Tuition-2Yr'!J62+'State Appropriations-2Yr'!J62+'Local Appropriations-2Yr'!J62+'Fed Contracts Grnts-2Yr'!J62+'Other Contracts Grnts-2Yr'!J62+'Investment Income-2Yr'!J62+'All Other E&amp;G-2Yr'!J62</f>
        <v>18343.902000000002</v>
      </c>
      <c r="K62" s="91">
        <f>+'Tuition-2Yr'!K62+'State Appropriations-2Yr'!K62+'Local Appropriations-2Yr'!K62+'Fed Contracts Grnts-2Yr'!K62+'Other Contracts Grnts-2Yr'!K62+'Investment Income-2Yr'!K62+'All Other E&amp;G-2Yr'!K62</f>
        <v>0</v>
      </c>
      <c r="L62" s="91">
        <f>+'Tuition-2Yr'!L62+'State Appropriations-2Yr'!L62+'Local Appropriations-2Yr'!L62+'Fed Contracts Grnts-2Yr'!L62+'Other Contracts Grnts-2Yr'!L62+'Investment Income-2Yr'!L62+'All Other E&amp;G-2Yr'!L62</f>
        <v>0</v>
      </c>
      <c r="M62" s="91">
        <f>+'Tuition-2Yr'!M62+'State Appropriations-2Yr'!M62+'Local Appropriations-2Yr'!M62+'Fed Contracts Grnts-2Yr'!M62+'Other Contracts Grnts-2Yr'!M62+'Investment Income-2Yr'!M62+'All Other E&amp;G-2Yr'!M62</f>
        <v>11627.577000000001</v>
      </c>
      <c r="N62" s="91">
        <f>+'Tuition-2Yr'!N62+'State Appropriations-2Yr'!N62+'Local Appropriations-2Yr'!N62+'Fed Contracts Grnts-2Yr'!N62+'Other Contracts Grnts-2Yr'!N62+'Investment Income-2Yr'!N62+'All Other E&amp;G-2Yr'!N62</f>
        <v>0</v>
      </c>
      <c r="O62" s="91">
        <f>+'Tuition-2Yr'!O62+'State Appropriations-2Yr'!O62+'Local Appropriations-2Yr'!O62+'Fed Contracts Grnts-2Yr'!O62+'Other Contracts Grnts-2Yr'!O62+'Investment Income-2Yr'!O62+'All Other E&amp;G-2Yr'!O62</f>
        <v>13113.904999999999</v>
      </c>
      <c r="P62" s="91">
        <f>+'Tuition-2Yr'!P62+'State Appropriations-2Yr'!P62+'Local Appropriations-2Yr'!P62+'Fed Contracts Grnts-2Yr'!P62+'Other Contracts Grnts-2Yr'!P62+'Investment Income-2Yr'!P62+'All Other E&amp;G-2Yr'!P62</f>
        <v>0</v>
      </c>
      <c r="Q62" s="91">
        <f>+'Tuition-2Yr'!Q62+'State Appropriations-2Yr'!Q62+'Local Appropriations-2Yr'!Q62+'Fed Contracts Grnts-2Yr'!Q62+'Other Contracts Grnts-2Yr'!Q62+'Investment Income-2Yr'!Q62+'All Other E&amp;G-2Yr'!Q62</f>
        <v>0</v>
      </c>
      <c r="R62" s="91">
        <f>+'Tuition-2Yr'!R62+'State Appropriations-2Yr'!R62+'Local Appropriations-2Yr'!R62+'Fed Contracts Grnts-2Yr'!R62+'Other Contracts Grnts-2Yr'!R62+'Investment Income-2Yr'!R62+'All Other E&amp;G-2Yr'!R62</f>
        <v>15197.29</v>
      </c>
      <c r="S62" s="91">
        <f>+'Tuition-2Yr'!S62+'State Appropriations-2Yr'!S62+'Local Appropriations-2Yr'!S62+'Fed Contracts Grnts-2Yr'!S62+'Other Contracts Grnts-2Yr'!S62+'Investment Income-2Yr'!S62+'All Other E&amp;G-2Yr'!S62</f>
        <v>17186.483</v>
      </c>
      <c r="T62" s="91">
        <f>+'Tuition-2Yr'!T62+'State Appropriations-2Yr'!T62+'Local Appropriations-2Yr'!T62+'Fed Contracts Grnts-2Yr'!T62+'Other Contracts Grnts-2Yr'!T62+'Investment Income-2Yr'!T62+'All Other E&amp;G-2Yr'!T62</f>
        <v>20252.958999999999</v>
      </c>
      <c r="U62" s="91">
        <f>+'Tuition-2Yr'!U62+'State Appropriations-2Yr'!U62+'Local Appropriations-2Yr'!U62+'Fed Contracts Grnts-2Yr'!U62+'Other Contracts Grnts-2Yr'!U62+'Investment Income-2Yr'!U62+'All Other E&amp;G-2Yr'!U62</f>
        <v>19603.701000000001</v>
      </c>
      <c r="V62" s="91">
        <f>+'Tuition-2Yr'!V62+'State Appropriations-2Yr'!V62+'Local Appropriations-2Yr'!V62+'Fed Contracts Grnts-2Yr'!V62+'Other Contracts Grnts-2Yr'!V62+'Investment Income-2Yr'!V62+'All Other E&amp;G-2Yr'!V62</f>
        <v>23253.525999999998</v>
      </c>
      <c r="W62" s="91">
        <f>+'Tuition-2Yr'!W62+'State Appropriations-2Yr'!W62+'Local Appropriations-2Yr'!W62+'Fed Contracts Grnts-2Yr'!W62+'Other Contracts Grnts-2Yr'!W62+'Investment Income-2Yr'!W62+'All Other E&amp;G-2Yr'!W62</f>
        <v>27653.841</v>
      </c>
      <c r="X62" s="91">
        <f>+'Tuition-2Yr'!X62+'State Appropriations-2Yr'!X62+'Local Appropriations-2Yr'!X62+'Fed Contracts Grnts-2Yr'!X62+'Other Contracts Grnts-2Yr'!X62+'Investment Income-2Yr'!X62+'All Other E&amp;G-2Yr'!X62</f>
        <v>23662.178</v>
      </c>
      <c r="Y62" s="91">
        <f>+'Tuition-2Yr'!Y62+'State Appropriations-2Yr'!Y62+'Local Appropriations-2Yr'!Y62+'Fed Contracts Grnts-2Yr'!Y62+'Other Contracts Grnts-2Yr'!Y62+'Investment Income-2Yr'!Y62+'All Other E&amp;G-2Yr'!Y62</f>
        <v>25122.591</v>
      </c>
      <c r="Z62" s="91">
        <f>+'Tuition-2Yr'!Z62+'State Appropriations-2Yr'!Z62+'Local Appropriations-2Yr'!Z62+'Fed Contracts Grnts-2Yr'!Z62+'Other Contracts Grnts-2Yr'!Z62+'Investment Income-2Yr'!Z62+'All Other E&amp;G-2Yr'!Z62</f>
        <v>26447.005999999998</v>
      </c>
      <c r="AA62" s="91">
        <f>+'Tuition-2Yr'!AA62+'State Appropriations-2Yr'!AA62+'Local Appropriations-2Yr'!AA62+'Fed Contracts Grnts-2Yr'!AA62+'Other Contracts Grnts-2Yr'!AA62+'Investment Income-2Yr'!AA62+'All Other E&amp;G-2Yr'!AA62</f>
        <v>65875.201000000001</v>
      </c>
      <c r="AB62" s="91">
        <f>+'Tuition-2Yr'!AB62+'State Appropriations-2Yr'!AB62+'Local Appropriations-2Yr'!AB62+'Fed Contracts Grnts-2Yr'!AB62+'Other Contracts Grnts-2Yr'!AB62+'Investment Income-2Yr'!AB62+'All Other E&amp;G-2Yr'!AB62</f>
        <v>40158.886999999995</v>
      </c>
      <c r="AC62" s="91">
        <f>+'Tuition-2Yr'!AC62+'State Appropriations-2Yr'!AC62+'Local Appropriations-2Yr'!AC62+'Fed Contracts Grnts-2Yr'!AC62+'Other Contracts Grnts-2Yr'!AC62+'Investment Income-2Yr'!AC62+'All Other E&amp;G-2Yr'!AC62</f>
        <v>44574</v>
      </c>
      <c r="AD62" s="91">
        <f>+'Tuition-2Yr'!AD62+'State Appropriations-2Yr'!AD62+'Local Appropriations-2Yr'!AD62+'Fed Contracts Grnts-2Yr'!AD62+'Other Contracts Grnts-2Yr'!AD62+'Investment Income-2Yr'!AD62+'All Other E&amp;G-2Yr'!AD62</f>
        <v>43083.341999999997</v>
      </c>
      <c r="AE62" s="91">
        <f>+'Tuition-2Yr'!AE62+'State Appropriations-2Yr'!AE62+'Local Appropriations-2Yr'!AE62+'Fed Contracts Grnts-2Yr'!AE62+'Other Contracts Grnts-2Yr'!AE62+'Investment Income-2Yr'!AE62+'All Other E&amp;G-2Yr'!AE62</f>
        <v>81677.991999999998</v>
      </c>
      <c r="AF62" s="91">
        <f>+'Tuition-2Yr'!AF62+'State Appropriations-2Yr'!AF62+'Local Appropriations-2Yr'!AF62+'Fed Contracts Grnts-2Yr'!AF62+'Other Contracts Grnts-2Yr'!AF62+'Investment Income-2Yr'!AF62+'All Other E&amp;G-2Yr'!AF62</f>
        <v>79873.435999999987</v>
      </c>
      <c r="AG62" s="91">
        <f>+'Tuition-2Yr'!AG62+'State Appropriations-2Yr'!AG62+'Local Appropriations-2Yr'!AG62+'Fed Contracts Grnts-2Yr'!AG62+'Other Contracts Grnts-2Yr'!AG62+'Investment Income-2Yr'!AG62+'All Other E&amp;G-2Yr'!AG62</f>
        <v>82877.180000000008</v>
      </c>
      <c r="AH62" s="91">
        <f>+'Tuition-2Yr'!AH62+'State Appropriations-2Yr'!AH62+'Local Appropriations-2Yr'!AH62+'Fed Contracts Grnts-2Yr'!AH62+'Other Contracts Grnts-2Yr'!AH62+'Investment Income-2Yr'!AH62+'All Other E&amp;G-2Yr'!AH62</f>
        <v>40319.488999999994</v>
      </c>
      <c r="AI62" s="91">
        <f>+'Tuition-2Yr'!AI62+'State Appropriations-2Yr'!AI62+'Local Appropriations-2Yr'!AI62+'Fed Contracts Grnts-2Yr'!AI62+'Other Contracts Grnts-2Yr'!AI62+'Investment Income-2Yr'!AI62+'All Other E&amp;G-2Yr'!AI62</f>
        <v>37880.569000000003</v>
      </c>
      <c r="AJ62" s="91">
        <f>+'Tuition-2Yr'!AJ62+'State Appropriations-2Yr'!AJ62+'Local Appropriations-2Yr'!AJ62+'Fed Contracts Grnts-2Yr'!AJ62+'Other Contracts Grnts-2Yr'!AJ62+'Investment Income-2Yr'!AJ62+'All Other E&amp;G-2Yr'!AJ62</f>
        <v>0</v>
      </c>
      <c r="AK62" s="91">
        <f>+'Tuition-2Yr'!AK62+'State Appropriations-2Yr'!AK62+'Local Appropriations-2Yr'!AK62+'Fed Contracts Grnts-2Yr'!AK62+'Other Contracts Grnts-2Yr'!AK62+'Investment Income-2Yr'!AK62+'All Other E&amp;G-2Yr'!AK62</f>
        <v>40264.34599999999</v>
      </c>
    </row>
    <row r="63" spans="1:37">
      <c r="A63" s="56" t="s">
        <v>74</v>
      </c>
      <c r="B63" s="92">
        <f>+'Tuition-2Yr'!B63+'State Appropriations-2Yr'!B63+'Local Appropriations-2Yr'!B63+'Fed Contracts Grnts-2Yr'!B63+'Other Contracts Grnts-2Yr'!B63+'Investment Income-2Yr'!B63+'All Other E&amp;G-2Yr'!B63</f>
        <v>0</v>
      </c>
      <c r="C63" s="92">
        <f>+'Tuition-2Yr'!C63+'State Appropriations-2Yr'!C63+'Local Appropriations-2Yr'!C63+'Fed Contracts Grnts-2Yr'!C63+'Other Contracts Grnts-2Yr'!C63+'Investment Income-2Yr'!C63+'All Other E&amp;G-2Yr'!C63</f>
        <v>0</v>
      </c>
      <c r="D63" s="92">
        <f>+'Tuition-2Yr'!D63+'State Appropriations-2Yr'!D63+'Local Appropriations-2Yr'!D63+'Fed Contracts Grnts-2Yr'!D63+'Other Contracts Grnts-2Yr'!D63+'Investment Income-2Yr'!D63+'All Other E&amp;G-2Yr'!D63</f>
        <v>0</v>
      </c>
      <c r="E63" s="92">
        <f>+'Tuition-2Yr'!E63+'State Appropriations-2Yr'!E63+'Local Appropriations-2Yr'!E63+'Fed Contracts Grnts-2Yr'!E63+'Other Contracts Grnts-2Yr'!E63+'Investment Income-2Yr'!E63+'All Other E&amp;G-2Yr'!E63</f>
        <v>0</v>
      </c>
      <c r="F63" s="92">
        <f>+'Tuition-2Yr'!F63+'State Appropriations-2Yr'!F63+'Local Appropriations-2Yr'!F63+'Fed Contracts Grnts-2Yr'!F63+'Other Contracts Grnts-2Yr'!F63+'Investment Income-2Yr'!F63+'All Other E&amp;G-2Yr'!F63</f>
        <v>0</v>
      </c>
      <c r="G63" s="92">
        <f>+'Tuition-2Yr'!G63+'State Appropriations-2Yr'!G63+'Local Appropriations-2Yr'!G63+'Fed Contracts Grnts-2Yr'!G63+'Other Contracts Grnts-2Yr'!G63+'Investment Income-2Yr'!G63+'All Other E&amp;G-2Yr'!G63</f>
        <v>0</v>
      </c>
      <c r="H63" s="92">
        <f>+'Tuition-2Yr'!H63+'State Appropriations-2Yr'!H63+'Local Appropriations-2Yr'!H63+'Fed Contracts Grnts-2Yr'!H63+'Other Contracts Grnts-2Yr'!H63+'Investment Income-2Yr'!H63+'All Other E&amp;G-2Yr'!H63</f>
        <v>0</v>
      </c>
      <c r="I63" s="92">
        <f>+'Tuition-2Yr'!I63+'State Appropriations-2Yr'!I63+'Local Appropriations-2Yr'!I63+'Fed Contracts Grnts-2Yr'!I63+'Other Contracts Grnts-2Yr'!I63+'Investment Income-2Yr'!I63+'All Other E&amp;G-2Yr'!I63</f>
        <v>0</v>
      </c>
      <c r="J63" s="92">
        <f>+'Tuition-2Yr'!J63+'State Appropriations-2Yr'!J63+'Local Appropriations-2Yr'!J63+'Fed Contracts Grnts-2Yr'!J63+'Other Contracts Grnts-2Yr'!J63+'Investment Income-2Yr'!J63+'All Other E&amp;G-2Yr'!J63</f>
        <v>0</v>
      </c>
      <c r="K63" s="92">
        <f>+'Tuition-2Yr'!K63+'State Appropriations-2Yr'!K63+'Local Appropriations-2Yr'!K63+'Fed Contracts Grnts-2Yr'!K63+'Other Contracts Grnts-2Yr'!K63+'Investment Income-2Yr'!K63+'All Other E&amp;G-2Yr'!K63</f>
        <v>0</v>
      </c>
      <c r="L63" s="92">
        <f>+'Tuition-2Yr'!L63+'State Appropriations-2Yr'!L63+'Local Appropriations-2Yr'!L63+'Fed Contracts Grnts-2Yr'!L63+'Other Contracts Grnts-2Yr'!L63+'Investment Income-2Yr'!L63+'All Other E&amp;G-2Yr'!L63</f>
        <v>0</v>
      </c>
      <c r="M63" s="92">
        <f>+'Tuition-2Yr'!M63+'State Appropriations-2Yr'!M63+'Local Appropriations-2Yr'!M63+'Fed Contracts Grnts-2Yr'!M63+'Other Contracts Grnts-2Yr'!M63+'Investment Income-2Yr'!M63+'All Other E&amp;G-2Yr'!M63</f>
        <v>0</v>
      </c>
      <c r="N63" s="92">
        <f>+'Tuition-2Yr'!N63+'State Appropriations-2Yr'!N63+'Local Appropriations-2Yr'!N63+'Fed Contracts Grnts-2Yr'!N63+'Other Contracts Grnts-2Yr'!N63+'Investment Income-2Yr'!N63+'All Other E&amp;G-2Yr'!N63</f>
        <v>0</v>
      </c>
      <c r="O63" s="92">
        <f>+'Tuition-2Yr'!O63+'State Appropriations-2Yr'!O63+'Local Appropriations-2Yr'!O63+'Fed Contracts Grnts-2Yr'!O63+'Other Contracts Grnts-2Yr'!O63+'Investment Income-2Yr'!O63+'All Other E&amp;G-2Yr'!O63</f>
        <v>0</v>
      </c>
      <c r="P63" s="92">
        <f>+'Tuition-2Yr'!P63+'State Appropriations-2Yr'!P63+'Local Appropriations-2Yr'!P63+'Fed Contracts Grnts-2Yr'!P63+'Other Contracts Grnts-2Yr'!P63+'Investment Income-2Yr'!P63+'All Other E&amp;G-2Yr'!P63</f>
        <v>0</v>
      </c>
      <c r="Q63" s="92">
        <f>+'Tuition-2Yr'!Q63+'State Appropriations-2Yr'!Q63+'Local Appropriations-2Yr'!Q63+'Fed Contracts Grnts-2Yr'!Q63+'Other Contracts Grnts-2Yr'!Q63+'Investment Income-2Yr'!Q63+'All Other E&amp;G-2Yr'!Q63</f>
        <v>0</v>
      </c>
      <c r="R63" s="92">
        <f>+'Tuition-2Yr'!R63+'State Appropriations-2Yr'!R63+'Local Appropriations-2Yr'!R63+'Fed Contracts Grnts-2Yr'!R63+'Other Contracts Grnts-2Yr'!R63+'Investment Income-2Yr'!R63+'All Other E&amp;G-2Yr'!R63</f>
        <v>0</v>
      </c>
      <c r="S63" s="92">
        <f>+'Tuition-2Yr'!S63+'State Appropriations-2Yr'!S63+'Local Appropriations-2Yr'!S63+'Fed Contracts Grnts-2Yr'!S63+'Other Contracts Grnts-2Yr'!S63+'Investment Income-2Yr'!S63+'All Other E&amp;G-2Yr'!S63</f>
        <v>0</v>
      </c>
      <c r="T63" s="92">
        <f>+'Tuition-2Yr'!T63+'State Appropriations-2Yr'!T63+'Local Appropriations-2Yr'!T63+'Fed Contracts Grnts-2Yr'!T63+'Other Contracts Grnts-2Yr'!T63+'Investment Income-2Yr'!T63+'All Other E&amp;G-2Yr'!T63</f>
        <v>0</v>
      </c>
      <c r="U63" s="92">
        <f>+'Tuition-2Yr'!U63+'State Appropriations-2Yr'!U63+'Local Appropriations-2Yr'!U63+'Fed Contracts Grnts-2Yr'!U63+'Other Contracts Grnts-2Yr'!U63+'Investment Income-2Yr'!U63+'All Other E&amp;G-2Yr'!U63</f>
        <v>0</v>
      </c>
      <c r="V63" s="92">
        <f>+'Tuition-2Yr'!V63+'State Appropriations-2Yr'!V63+'Local Appropriations-2Yr'!V63+'Fed Contracts Grnts-2Yr'!V63+'Other Contracts Grnts-2Yr'!V63+'Investment Income-2Yr'!V63+'All Other E&amp;G-2Yr'!V63</f>
        <v>0</v>
      </c>
      <c r="W63" s="92">
        <f>+'Tuition-2Yr'!W63+'State Appropriations-2Yr'!W63+'Local Appropriations-2Yr'!W63+'Fed Contracts Grnts-2Yr'!W63+'Other Contracts Grnts-2Yr'!W63+'Investment Income-2Yr'!W63+'All Other E&amp;G-2Yr'!W63</f>
        <v>0</v>
      </c>
      <c r="X63" s="92">
        <f>+'Tuition-2Yr'!X63+'State Appropriations-2Yr'!X63+'Local Appropriations-2Yr'!X63+'Fed Contracts Grnts-2Yr'!X63+'Other Contracts Grnts-2Yr'!X63+'Investment Income-2Yr'!X63+'All Other E&amp;G-2Yr'!X63</f>
        <v>0</v>
      </c>
      <c r="Y63" s="92">
        <f>+'Tuition-2Yr'!Y63+'State Appropriations-2Yr'!Y63+'Local Appropriations-2Yr'!Y63+'Fed Contracts Grnts-2Yr'!Y63+'Other Contracts Grnts-2Yr'!Y63+'Investment Income-2Yr'!Y63+'All Other E&amp;G-2Yr'!Y63</f>
        <v>0</v>
      </c>
      <c r="Z63" s="92">
        <f>+'Tuition-2Yr'!Z63+'State Appropriations-2Yr'!Z63+'Local Appropriations-2Yr'!Z63+'Fed Contracts Grnts-2Yr'!Z63+'Other Contracts Grnts-2Yr'!Z63+'Investment Income-2Yr'!Z63+'All Other E&amp;G-2Yr'!Z63</f>
        <v>0</v>
      </c>
      <c r="AA63" s="92">
        <f>+'Tuition-2Yr'!AA63+'State Appropriations-2Yr'!AA63+'Local Appropriations-2Yr'!AA63+'Fed Contracts Grnts-2Yr'!AA63+'Other Contracts Grnts-2Yr'!AA63+'Investment Income-2Yr'!AA63+'All Other E&amp;G-2Yr'!AA63</f>
        <v>0</v>
      </c>
      <c r="AB63" s="92">
        <f>+'Tuition-2Yr'!AB63+'State Appropriations-2Yr'!AB63+'Local Appropriations-2Yr'!AB63+'Fed Contracts Grnts-2Yr'!AB63+'Other Contracts Grnts-2Yr'!AB63+'Investment Income-2Yr'!AB63+'All Other E&amp;G-2Yr'!AB63</f>
        <v>0</v>
      </c>
      <c r="AC63" s="92">
        <f>+'Tuition-2Yr'!AC63+'State Appropriations-2Yr'!AC63+'Local Appropriations-2Yr'!AC63+'Fed Contracts Grnts-2Yr'!AC63+'Other Contracts Grnts-2Yr'!AC63+'Investment Income-2Yr'!AC63+'All Other E&amp;G-2Yr'!AC63</f>
        <v>0</v>
      </c>
      <c r="AD63" s="92">
        <f>+'Tuition-2Yr'!AD63+'State Appropriations-2Yr'!AD63+'Local Appropriations-2Yr'!AD63+'Fed Contracts Grnts-2Yr'!AD63+'Other Contracts Grnts-2Yr'!AD63+'Investment Income-2Yr'!AD63+'All Other E&amp;G-2Yr'!AD63</f>
        <v>0</v>
      </c>
      <c r="AE63" s="92">
        <f>+'Tuition-2Yr'!AE63+'State Appropriations-2Yr'!AE63+'Local Appropriations-2Yr'!AE63+'Fed Contracts Grnts-2Yr'!AE63+'Other Contracts Grnts-2Yr'!AE63+'Investment Income-2Yr'!AE63+'All Other E&amp;G-2Yr'!AE63</f>
        <v>0</v>
      </c>
      <c r="AF63" s="30"/>
      <c r="AG63" s="30"/>
      <c r="AH63" s="30"/>
      <c r="AI63" s="30"/>
      <c r="AJ63" s="30"/>
      <c r="AK63" s="30"/>
    </row>
    <row r="64" spans="1:37" ht="12.75" customHeight="1"/>
    <row r="65" spans="1:29" ht="12.75" customHeight="1">
      <c r="A65" s="6" t="s">
        <v>95</v>
      </c>
    </row>
    <row r="66" spans="1:29" ht="12.75" customHeight="1">
      <c r="AC66" s="41"/>
    </row>
    <row r="67" spans="1:29" ht="12.75" customHeight="1"/>
    <row r="68" spans="1:29" ht="12.75" customHeight="1"/>
    <row r="69" spans="1:29" ht="12.75" customHeight="1"/>
    <row r="70" spans="1:29" ht="12.75" customHeight="1"/>
    <row r="71" spans="1:29" ht="12.75" customHeight="1"/>
    <row r="72" spans="1:29" ht="12.75" customHeight="1"/>
    <row r="73" spans="1:29" ht="12.75" customHeight="1"/>
    <row r="74" spans="1:29" ht="12.75" customHeight="1"/>
    <row r="75" spans="1:29" ht="12.75" customHeight="1"/>
    <row r="76" spans="1:29" ht="12.75" customHeight="1"/>
    <row r="77" spans="1:29" ht="12.75" customHeight="1"/>
    <row r="78" spans="1:29" ht="12.75" customHeight="1"/>
    <row r="79" spans="1:29" ht="12.75" customHeight="1"/>
    <row r="80" spans="1:29" ht="12.75" customHeight="1"/>
    <row r="81" spans="204:214" ht="9.9499999999999993" customHeight="1"/>
    <row r="82" spans="204:214" ht="9.9499999999999993" customHeight="1">
      <c r="GX82" s="4"/>
      <c r="GY82" s="4"/>
      <c r="GZ82" s="4"/>
      <c r="HA82" s="4"/>
      <c r="HB82" s="4"/>
      <c r="HC82" s="4"/>
      <c r="HD82" s="4"/>
      <c r="HE82" s="4"/>
      <c r="HF82" s="4"/>
    </row>
    <row r="83" spans="204:214">
      <c r="GV83" s="4"/>
      <c r="GW83" s="4"/>
      <c r="GX83" s="4"/>
      <c r="GY83" s="4"/>
      <c r="GZ83" s="4"/>
      <c r="HA83" s="4"/>
      <c r="HB83" s="4"/>
      <c r="HC83" s="4"/>
      <c r="HD83" s="4"/>
      <c r="HE83" s="4"/>
      <c r="HF83" s="4"/>
    </row>
    <row r="84" spans="204:214">
      <c r="GV84" s="4"/>
      <c r="GW84" s="4"/>
      <c r="GX84" s="4"/>
      <c r="GY84" s="4"/>
      <c r="GZ84" s="4"/>
      <c r="HA84" s="4"/>
      <c r="HB84" s="4"/>
      <c r="HC84" s="4"/>
      <c r="HD84" s="4"/>
      <c r="HE84" s="4"/>
      <c r="HF84" s="4"/>
    </row>
    <row r="85" spans="204:214">
      <c r="GX85" s="4"/>
      <c r="GY85" s="4"/>
      <c r="GZ85" s="4"/>
      <c r="HA85" s="4"/>
      <c r="HB85" s="4"/>
      <c r="HC85" s="4"/>
      <c r="HD85" s="4"/>
    </row>
    <row r="86" spans="204:214">
      <c r="GX86" s="4"/>
      <c r="GY86" s="4"/>
      <c r="GZ86" s="4"/>
      <c r="HA86" s="4"/>
      <c r="HB86" s="4"/>
      <c r="HC86" s="4"/>
      <c r="HD86" s="4"/>
    </row>
    <row r="87" spans="204:214">
      <c r="GX87" s="4"/>
      <c r="GY87" s="4"/>
      <c r="GZ87" s="4"/>
      <c r="HA87" s="4"/>
      <c r="HB87" s="4"/>
      <c r="HC87" s="4"/>
      <c r="HD87" s="4"/>
    </row>
  </sheetData>
  <phoneticPr fontId="8"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
    <tabColor indexed="62"/>
  </sheetPr>
  <dimension ref="A1:HB92"/>
  <sheetViews>
    <sheetView zoomScale="90" zoomScaleNormal="90" workbookViewId="0">
      <pane xSplit="1" ySplit="3" topLeftCell="AF4" activePane="bottomRight" state="frozen"/>
      <selection pane="topRight" activeCell="O44" sqref="O44"/>
      <selection pane="bottomLeft" activeCell="O44" sqref="O44"/>
      <selection pane="bottomRight" activeCell="AL6" sqref="AL6"/>
    </sheetView>
  </sheetViews>
  <sheetFormatPr defaultColWidth="9.7109375" defaultRowHeight="12.75"/>
  <cols>
    <col min="1" max="1" width="19.5703125" style="1" bestFit="1" customWidth="1"/>
    <col min="2" max="22" width="13.85546875" style="1" customWidth="1"/>
    <col min="23" max="28" width="13.85546875" style="10" customWidth="1"/>
    <col min="29" max="29" width="15.5703125" style="10" bestFit="1" customWidth="1"/>
    <col min="30" max="30" width="11.5703125" style="1" bestFit="1" customWidth="1"/>
    <col min="31" max="32" width="14.28515625" style="1" bestFit="1" customWidth="1"/>
    <col min="33" max="37" width="14.28515625" style="1" customWidth="1"/>
    <col min="38" max="38" width="9.7109375" style="1"/>
    <col min="39" max="39" width="11.42578125" style="1" bestFit="1" customWidth="1"/>
    <col min="40"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L1" s="1">
        <v>1000</v>
      </c>
    </row>
    <row r="2" spans="1:39">
      <c r="A2" s="1" t="s">
        <v>96</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42">
        <v>2018</v>
      </c>
      <c r="AK3" s="142">
        <v>2019</v>
      </c>
    </row>
    <row r="4" spans="1:39" ht="12.75" customHeight="1">
      <c r="A4" s="53" t="s">
        <v>19</v>
      </c>
      <c r="B4" s="53">
        <f>2787763+3631276</f>
        <v>6419039</v>
      </c>
      <c r="C4" s="53">
        <f>2969199+3880282</f>
        <v>6849481</v>
      </c>
      <c r="D4" s="53">
        <f>3283112+4256604</f>
        <v>7539716</v>
      </c>
      <c r="E4" s="53"/>
      <c r="F4" s="53"/>
      <c r="G4" s="53"/>
      <c r="H4" s="53"/>
      <c r="I4" s="53">
        <v>12188448.927999999</v>
      </c>
      <c r="J4" s="61">
        <f t="shared" ref="J4" si="0">+J5+J23+J38+J52+J63</f>
        <v>13605051.145</v>
      </c>
      <c r="K4" s="65">
        <f>(($M$4-$J$4)/3)+J4</f>
        <v>14781963.446333334</v>
      </c>
      <c r="L4" s="65">
        <f>(($M$4-$J$4)/3)+K4</f>
        <v>15958875.747666668</v>
      </c>
      <c r="M4" s="61">
        <f t="shared" ref="M4" si="1">+M5+M23+M38+M52+M63</f>
        <v>17135788.049000002</v>
      </c>
      <c r="N4" s="65">
        <f>((O4-M4)/2)+M4</f>
        <v>19477554.63775</v>
      </c>
      <c r="O4" s="61">
        <f t="shared" ref="O4" si="2">+O5+O23+O38+O52+O63</f>
        <v>21819321.226500001</v>
      </c>
      <c r="P4" s="53"/>
      <c r="Q4" s="53"/>
      <c r="R4" s="61">
        <f t="shared" ref="R4:AA4" si="3">+R5+R23+R38+R52+R63</f>
        <v>23024000.831</v>
      </c>
      <c r="S4" s="61">
        <f t="shared" si="3"/>
        <v>24294144.561000001</v>
      </c>
      <c r="T4" s="66">
        <f t="shared" si="3"/>
        <v>26208286.563000001</v>
      </c>
      <c r="U4" s="61">
        <f t="shared" si="3"/>
        <v>23549639.512000002</v>
      </c>
      <c r="V4" s="61">
        <f t="shared" si="3"/>
        <v>26877101.342999998</v>
      </c>
      <c r="W4" s="61">
        <f t="shared" si="3"/>
        <v>37325185.089000002</v>
      </c>
      <c r="X4" s="61">
        <f t="shared" si="3"/>
        <v>32699882.618999999</v>
      </c>
      <c r="Y4" s="61">
        <f t="shared" si="3"/>
        <v>35130461.035999998</v>
      </c>
      <c r="Z4" s="61">
        <f t="shared" si="3"/>
        <v>37827023.851000004</v>
      </c>
      <c r="AA4" s="61">
        <f t="shared" si="3"/>
        <v>49815011.791999996</v>
      </c>
      <c r="AB4" s="61">
        <f t="shared" ref="AB4:AC4" si="4">+AB5+AB23+AB38+AB52+AB63</f>
        <v>56325388.692999996</v>
      </c>
      <c r="AC4" s="61">
        <f t="shared" si="4"/>
        <v>62053948</v>
      </c>
      <c r="AD4" s="61">
        <f t="shared" ref="AD4:AE4" si="5">+AD5+AD23+AD38+AD52+AD63</f>
        <v>67714338.951000005</v>
      </c>
      <c r="AE4" s="61">
        <f t="shared" si="5"/>
        <v>76427090.887999997</v>
      </c>
      <c r="AF4" s="61">
        <f t="shared" ref="AF4:AG4" si="6">+AF5+AF23+AF38+AF52+AF63</f>
        <v>73986110.205000013</v>
      </c>
      <c r="AG4" s="61">
        <f t="shared" si="6"/>
        <v>78070646.614999995</v>
      </c>
      <c r="AH4" s="61">
        <f t="shared" ref="AH4:AI4" si="7">+AH5+AH23+AH38+AH52+AH63</f>
        <v>82415445.954000011</v>
      </c>
      <c r="AI4" s="61">
        <f t="shared" si="7"/>
        <v>85039790.685000002</v>
      </c>
      <c r="AJ4" s="61">
        <f t="shared" ref="AJ4:AK4" si="8">+AJ5+AJ23+AJ38+AJ52+AJ63</f>
        <v>0</v>
      </c>
      <c r="AK4" s="61">
        <f t="shared" si="8"/>
        <v>104592268.42</v>
      </c>
    </row>
    <row r="5" spans="1:39" ht="12.75" customHeight="1">
      <c r="A5" s="1" t="s">
        <v>20</v>
      </c>
      <c r="J5" s="58">
        <f t="shared" ref="J5" si="9">SUM(J7:J22)</f>
        <v>4045345.639</v>
      </c>
      <c r="M5" s="58">
        <f t="shared" ref="M5" si="10">SUM(M7:M22)</f>
        <v>5169379.7260000007</v>
      </c>
      <c r="O5" s="58">
        <f t="shared" ref="O5" si="11">SUM(O7:O22)</f>
        <v>6756616.4893500004</v>
      </c>
      <c r="R5" s="58">
        <f t="shared" ref="R5:AA5" si="12">SUM(R7:R22)</f>
        <v>7301373.7639999995</v>
      </c>
      <c r="S5" s="58">
        <f t="shared" si="12"/>
        <v>7818092.9270000011</v>
      </c>
      <c r="T5" s="67">
        <f t="shared" si="12"/>
        <v>8972413.0540000014</v>
      </c>
      <c r="U5" s="58">
        <f t="shared" si="12"/>
        <v>8302586.4140000008</v>
      </c>
      <c r="V5" s="58">
        <f t="shared" si="12"/>
        <v>9378009.4100000001</v>
      </c>
      <c r="W5" s="58">
        <f t="shared" si="12"/>
        <v>13114550.909000002</v>
      </c>
      <c r="X5" s="58">
        <f t="shared" si="12"/>
        <v>11357385.085999999</v>
      </c>
      <c r="Y5" s="58">
        <f t="shared" si="12"/>
        <v>12233748.123000002</v>
      </c>
      <c r="Z5" s="58">
        <f t="shared" si="12"/>
        <v>13229994.131999997</v>
      </c>
      <c r="AA5" s="58">
        <f t="shared" si="12"/>
        <v>17599148.142999999</v>
      </c>
      <c r="AB5" s="58">
        <f t="shared" ref="AB5:AC5" si="13">SUM(AB7:AB22)</f>
        <v>20010364.766999997</v>
      </c>
      <c r="AC5" s="58">
        <f t="shared" si="13"/>
        <v>22189402</v>
      </c>
      <c r="AD5" s="58">
        <f t="shared" ref="AD5:AE5" si="14">SUM(AD7:AD22)</f>
        <v>24096687.873</v>
      </c>
      <c r="AE5" s="58">
        <f t="shared" si="14"/>
        <v>25363109.890000001</v>
      </c>
      <c r="AF5" s="58">
        <f t="shared" ref="AF5:AG5" si="15">SUM(AF7:AF22)</f>
        <v>26687261.703000005</v>
      </c>
      <c r="AG5" s="58">
        <f t="shared" si="15"/>
        <v>28388238.013999999</v>
      </c>
      <c r="AH5" s="58">
        <f t="shared" ref="AH5:AI5" si="16">SUM(AH7:AH22)</f>
        <v>30094469.185000006</v>
      </c>
      <c r="AI5" s="58">
        <f t="shared" si="16"/>
        <v>31021708.909000006</v>
      </c>
      <c r="AJ5" s="58">
        <f t="shared" ref="AJ5:AK5" si="17">SUM(AJ7:AJ22)</f>
        <v>0</v>
      </c>
      <c r="AK5" s="58">
        <f t="shared" si="17"/>
        <v>39110473.573999994</v>
      </c>
      <c r="AL5" s="145">
        <f>AF5/'Total E&amp;G-4yr'!$AF$5</f>
        <v>0.36497482186315661</v>
      </c>
      <c r="AM5" s="145">
        <f>AK5/'Total E&amp;G-4yr'!$AK$5</f>
        <v>0.37823582138123624</v>
      </c>
    </row>
    <row r="6" spans="1:39" ht="12.75" customHeight="1">
      <c r="A6" s="6" t="s">
        <v>94</v>
      </c>
      <c r="J6" s="157"/>
      <c r="R6" s="20"/>
      <c r="T6" s="51"/>
      <c r="AM6" s="144"/>
    </row>
    <row r="7" spans="1:39" ht="12.75" customHeight="1">
      <c r="A7" s="1" t="s">
        <v>21</v>
      </c>
      <c r="B7" s="1">
        <f>46321+76355</f>
        <v>122676</v>
      </c>
      <c r="C7" s="1">
        <f>50415+79490</f>
        <v>129905</v>
      </c>
      <c r="D7" s="1">
        <f>53098+82057</f>
        <v>135155</v>
      </c>
      <c r="I7" s="1">
        <v>228159.49100000001</v>
      </c>
      <c r="J7" s="157">
        <v>255782.88699999999</v>
      </c>
      <c r="K7" s="1">
        <v>285686.78899999999</v>
      </c>
      <c r="L7" s="1">
        <v>306509.902</v>
      </c>
      <c r="M7" s="1">
        <v>312352.66100000002</v>
      </c>
      <c r="N7" s="1">
        <v>334903.09899999999</v>
      </c>
      <c r="O7" s="1">
        <v>395076.44400000002</v>
      </c>
      <c r="R7" s="27">
        <v>481702.53100000002</v>
      </c>
      <c r="S7" s="1">
        <v>511427.93800000002</v>
      </c>
      <c r="T7" s="51">
        <v>564143.01599999995</v>
      </c>
      <c r="U7" s="1">
        <v>520937.766</v>
      </c>
      <c r="V7" s="1">
        <v>572487.29700000002</v>
      </c>
      <c r="W7" s="157">
        <v>822856.98100000003</v>
      </c>
      <c r="X7" s="157">
        <v>733887.36899999995</v>
      </c>
      <c r="Y7" s="157">
        <v>792406.23499999999</v>
      </c>
      <c r="Z7" s="157">
        <v>874516.80500000005</v>
      </c>
      <c r="AA7" s="157">
        <v>1214428.6229999999</v>
      </c>
      <c r="AB7" s="157">
        <v>1391130.01</v>
      </c>
      <c r="AC7" s="157">
        <v>1526751</v>
      </c>
      <c r="AD7" s="1">
        <v>1649123.2720000001</v>
      </c>
      <c r="AE7" s="1">
        <v>1798908.4650000001</v>
      </c>
      <c r="AF7" s="1">
        <v>1915409.71</v>
      </c>
      <c r="AG7" s="1">
        <v>2042701.773</v>
      </c>
      <c r="AH7" s="1">
        <v>2178372.693</v>
      </c>
      <c r="AI7" s="1">
        <v>2327097.7930000001</v>
      </c>
      <c r="AK7" s="1">
        <v>2822910.9180000001</v>
      </c>
    </row>
    <row r="8" spans="1:39" ht="12.75" customHeight="1">
      <c r="A8" s="1" t="s">
        <v>22</v>
      </c>
      <c r="B8" s="1">
        <f>17881+34592</f>
        <v>52473</v>
      </c>
      <c r="C8" s="1">
        <f>17874+36047</f>
        <v>53921</v>
      </c>
      <c r="D8" s="1">
        <f>17494+35723</f>
        <v>53217</v>
      </c>
      <c r="I8" s="1">
        <v>101750.333</v>
      </c>
      <c r="J8" s="157">
        <v>111246.981</v>
      </c>
      <c r="K8" s="1">
        <v>124368.33500000001</v>
      </c>
      <c r="L8" s="1">
        <v>134954.193</v>
      </c>
      <c r="M8" s="1">
        <v>139176.818</v>
      </c>
      <c r="N8" s="1">
        <v>143438.15</v>
      </c>
      <c r="O8" s="1">
        <v>187026.315</v>
      </c>
      <c r="R8" s="27">
        <v>197717.70300000001</v>
      </c>
      <c r="S8" s="1">
        <v>220992.58</v>
      </c>
      <c r="T8" s="51">
        <v>252116.106</v>
      </c>
      <c r="U8" s="1">
        <v>175001.70300000001</v>
      </c>
      <c r="V8" s="1">
        <v>200069.67</v>
      </c>
      <c r="W8" s="157">
        <v>346600.10600000003</v>
      </c>
      <c r="X8" s="157">
        <v>256568.92600000001</v>
      </c>
      <c r="Y8" s="157">
        <v>260653.98</v>
      </c>
      <c r="Z8" s="157">
        <v>285408.50599999999</v>
      </c>
      <c r="AA8" s="157">
        <v>453244.43199999997</v>
      </c>
      <c r="AB8" s="157">
        <v>514546.13500000001</v>
      </c>
      <c r="AC8" s="157">
        <v>563736</v>
      </c>
      <c r="AD8" s="1">
        <v>617349.321</v>
      </c>
      <c r="AE8" s="1">
        <v>651045.16799999995</v>
      </c>
      <c r="AF8" s="1">
        <v>682346.29799999995</v>
      </c>
      <c r="AG8" s="1">
        <v>729711.51800000004</v>
      </c>
      <c r="AH8" s="1">
        <v>769312.68</v>
      </c>
      <c r="AI8" s="1">
        <v>810583.62300000002</v>
      </c>
      <c r="AK8" s="1">
        <v>1017805.313</v>
      </c>
    </row>
    <row r="9" spans="1:39" ht="12.75" customHeight="1">
      <c r="A9" s="1" t="s">
        <v>23</v>
      </c>
      <c r="D9" s="1">
        <f>61567+2555</f>
        <v>64122</v>
      </c>
      <c r="I9" s="1">
        <v>117266.459</v>
      </c>
      <c r="J9" s="157">
        <v>128612.641</v>
      </c>
      <c r="M9" s="1">
        <v>155921.818</v>
      </c>
      <c r="N9" s="1">
        <v>163625.57</v>
      </c>
      <c r="O9" s="1">
        <v>177696.62100000001</v>
      </c>
      <c r="R9" s="27">
        <v>206168.27299999999</v>
      </c>
      <c r="S9" s="38">
        <v>172842.59700000001</v>
      </c>
      <c r="T9" s="52">
        <v>228106.23300000001</v>
      </c>
      <c r="U9" s="38">
        <v>190460.927</v>
      </c>
      <c r="V9" s="38">
        <v>202953.973</v>
      </c>
      <c r="W9" s="157">
        <v>218446.13099999999</v>
      </c>
      <c r="X9" s="157">
        <v>230542.09899999999</v>
      </c>
      <c r="Y9" s="157">
        <v>239456.41</v>
      </c>
      <c r="Z9" s="157">
        <v>255975.08300000001</v>
      </c>
      <c r="AA9" s="157">
        <v>368177.49900000001</v>
      </c>
      <c r="AB9" s="157">
        <v>421529.73</v>
      </c>
      <c r="AC9" s="157">
        <v>461506</v>
      </c>
      <c r="AD9" s="1">
        <v>505598.85200000001</v>
      </c>
      <c r="AE9" s="1">
        <v>537542.17200000002</v>
      </c>
      <c r="AF9" s="1">
        <v>561622.58299999998</v>
      </c>
      <c r="AG9" s="1">
        <v>598852.24600000004</v>
      </c>
      <c r="AH9" s="1">
        <v>609423.09299999999</v>
      </c>
      <c r="AI9" s="1">
        <v>51624.275000000001</v>
      </c>
      <c r="AK9" s="1">
        <v>516822.26500000001</v>
      </c>
    </row>
    <row r="10" spans="1:39" ht="12.75" customHeight="1">
      <c r="A10" s="1" t="s">
        <v>24</v>
      </c>
      <c r="B10" s="1">
        <f>45269+58597</f>
        <v>103866</v>
      </c>
      <c r="C10" s="1">
        <f>51408+69119</f>
        <v>120527</v>
      </c>
      <c r="D10" s="1">
        <f>56209+79239</f>
        <v>135448</v>
      </c>
      <c r="I10" s="1">
        <v>237218.96900000001</v>
      </c>
      <c r="J10" s="157">
        <v>289644.69300000003</v>
      </c>
      <c r="K10" s="1">
        <v>332967.24800000002</v>
      </c>
      <c r="L10" s="1">
        <v>344693.00900000002</v>
      </c>
      <c r="M10" s="1">
        <v>349983.902</v>
      </c>
      <c r="N10" s="1">
        <v>364870.33299999998</v>
      </c>
      <c r="O10" s="1">
        <v>458363.01899999997</v>
      </c>
      <c r="R10" s="27">
        <v>557114.45900000003</v>
      </c>
      <c r="S10" s="1">
        <v>618342.19200000004</v>
      </c>
      <c r="T10" s="51">
        <v>836332.65899999999</v>
      </c>
      <c r="U10" s="1">
        <v>765894.42599999998</v>
      </c>
      <c r="V10" s="1">
        <v>865157.549</v>
      </c>
      <c r="W10" s="157">
        <v>1304364.2790000001</v>
      </c>
      <c r="X10" s="157">
        <v>907343.06</v>
      </c>
      <c r="Y10" s="157">
        <v>925434.03599999996</v>
      </c>
      <c r="Z10" s="157">
        <v>1010715.454</v>
      </c>
      <c r="AA10" s="157">
        <v>1539633.2749999999</v>
      </c>
      <c r="AB10" s="157">
        <v>1751506.817</v>
      </c>
      <c r="AC10" s="157">
        <v>1992572</v>
      </c>
      <c r="AD10" s="1">
        <v>2219748.5490000001</v>
      </c>
      <c r="AE10" s="1">
        <v>2453601.15</v>
      </c>
      <c r="AF10" s="1">
        <v>2547504.8739999998</v>
      </c>
      <c r="AG10" s="1">
        <v>2631832.2149999999</v>
      </c>
      <c r="AH10" s="1">
        <v>2648495.7080000001</v>
      </c>
      <c r="AI10" s="1">
        <v>2857830.0490000001</v>
      </c>
      <c r="AK10" s="1">
        <v>3824175.6290000002</v>
      </c>
    </row>
    <row r="11" spans="1:39" ht="12.75" customHeight="1">
      <c r="A11" s="1" t="s">
        <v>25</v>
      </c>
      <c r="B11" s="1">
        <f>31307+84942</f>
        <v>116249</v>
      </c>
      <c r="C11" s="1">
        <f>35648+95126</f>
        <v>130774</v>
      </c>
      <c r="D11" s="1">
        <f>40563+109247</f>
        <v>149810</v>
      </c>
      <c r="I11" s="1">
        <v>230168.52299999999</v>
      </c>
      <c r="J11" s="157">
        <v>245562.54300000001</v>
      </c>
      <c r="K11" s="1">
        <v>288922.14899999998</v>
      </c>
      <c r="L11" s="1">
        <v>321492.20299999998</v>
      </c>
      <c r="M11" s="1">
        <v>337872.04499999998</v>
      </c>
      <c r="N11" s="1">
        <v>366027.11099999998</v>
      </c>
      <c r="O11" s="1">
        <v>467359.522</v>
      </c>
      <c r="R11" s="27">
        <v>495847.54200000002</v>
      </c>
      <c r="S11" s="1">
        <v>537002.58400000003</v>
      </c>
      <c r="T11" s="51">
        <v>546892.72400000005</v>
      </c>
      <c r="U11" s="1">
        <v>528971.25800000003</v>
      </c>
      <c r="V11" s="1">
        <v>604231.11100000003</v>
      </c>
      <c r="W11" s="157">
        <v>781472.1</v>
      </c>
      <c r="X11" s="157">
        <v>706756.81200000003</v>
      </c>
      <c r="Y11" s="157">
        <v>774719.87699999998</v>
      </c>
      <c r="Z11" s="157">
        <v>862840.04799999995</v>
      </c>
      <c r="AA11" s="157">
        <v>1142883.3910000001</v>
      </c>
      <c r="AB11" s="157">
        <v>1420257.7279999999</v>
      </c>
      <c r="AC11" s="157">
        <v>1658186</v>
      </c>
      <c r="AD11" s="1">
        <v>1861062.7320000001</v>
      </c>
      <c r="AE11" s="1">
        <v>2017079.3230000001</v>
      </c>
      <c r="AF11" s="1">
        <v>2091267.68</v>
      </c>
      <c r="AG11" s="1">
        <v>2225950.523</v>
      </c>
      <c r="AH11" s="1">
        <v>2379649.2390000001</v>
      </c>
      <c r="AI11" s="1">
        <v>2454925.7910000002</v>
      </c>
      <c r="AK11" s="1">
        <v>2949442.0129999998</v>
      </c>
    </row>
    <row r="12" spans="1:39" ht="12.75" customHeight="1">
      <c r="A12" s="1" t="s">
        <v>26</v>
      </c>
      <c r="B12" s="1">
        <f>48697+48173</f>
        <v>96870</v>
      </c>
      <c r="C12" s="1">
        <f>53989+49991</f>
        <v>103980</v>
      </c>
      <c r="D12" s="1">
        <f>60357+51805</f>
        <v>112162</v>
      </c>
      <c r="I12" s="1">
        <v>188241.20499999999</v>
      </c>
      <c r="J12" s="157">
        <v>213819.24400000001</v>
      </c>
      <c r="K12" s="1">
        <v>230739.72899999999</v>
      </c>
      <c r="L12" s="1">
        <v>253003.723</v>
      </c>
      <c r="M12" s="1">
        <v>271451.45299999998</v>
      </c>
      <c r="N12" s="1">
        <v>284981.21399999998</v>
      </c>
      <c r="O12" s="1">
        <v>335187.61200000002</v>
      </c>
      <c r="R12" s="20">
        <v>350981.22499999998</v>
      </c>
      <c r="S12" s="1">
        <v>372859.13900000002</v>
      </c>
      <c r="T12" s="51">
        <v>424554.03</v>
      </c>
      <c r="U12" s="1">
        <v>339652.93900000001</v>
      </c>
      <c r="V12" s="1">
        <v>384277.304</v>
      </c>
      <c r="W12" s="157">
        <v>635907.81900000002</v>
      </c>
      <c r="X12" s="157">
        <v>502200.61200000002</v>
      </c>
      <c r="Y12" s="157">
        <v>567718.26800000004</v>
      </c>
      <c r="Z12" s="157">
        <v>626025.11899999995</v>
      </c>
      <c r="AA12" s="157">
        <v>962838.14599999995</v>
      </c>
      <c r="AB12" s="157">
        <v>1034632.2659999999</v>
      </c>
      <c r="AC12" s="157">
        <v>1118635</v>
      </c>
      <c r="AD12" s="1">
        <v>1195317.7830000001</v>
      </c>
      <c r="AE12" s="1">
        <v>1272164.932</v>
      </c>
      <c r="AF12" s="1">
        <v>1333980.375</v>
      </c>
      <c r="AG12" s="1">
        <v>1410926.0660000001</v>
      </c>
      <c r="AH12" s="1">
        <v>1465157.5889999999</v>
      </c>
      <c r="AI12" s="1">
        <v>1511580.4380000001</v>
      </c>
      <c r="AK12" s="1">
        <v>1710767.42</v>
      </c>
    </row>
    <row r="13" spans="1:39" ht="12.75" customHeight="1">
      <c r="A13" s="1" t="s">
        <v>27</v>
      </c>
      <c r="B13" s="1">
        <f>35121+81197</f>
        <v>116318</v>
      </c>
      <c r="C13" s="1">
        <f>35508+87202</f>
        <v>122710</v>
      </c>
      <c r="D13" s="1">
        <f>45162+102615</f>
        <v>147777</v>
      </c>
      <c r="I13" s="1">
        <v>245663.71599999999</v>
      </c>
      <c r="J13" s="157">
        <v>264814.69799999997</v>
      </c>
      <c r="K13" s="1">
        <v>295947.179</v>
      </c>
      <c r="L13" s="1">
        <v>328399.94799999997</v>
      </c>
      <c r="M13" s="1">
        <v>335046.10100000002</v>
      </c>
      <c r="N13" s="1">
        <v>347112.19400000002</v>
      </c>
      <c r="O13" s="1">
        <v>431528.505</v>
      </c>
      <c r="R13" s="20">
        <v>392129.56599999999</v>
      </c>
      <c r="S13" s="1">
        <v>433038.61</v>
      </c>
      <c r="T13" s="51">
        <v>467565.87199999997</v>
      </c>
      <c r="U13" s="1">
        <v>399053.83299999998</v>
      </c>
      <c r="V13" s="1">
        <v>455720.20799999998</v>
      </c>
      <c r="W13" s="157">
        <v>631816.09299999999</v>
      </c>
      <c r="X13" s="157">
        <v>515915.136</v>
      </c>
      <c r="Y13" s="157">
        <v>501619.32799999998</v>
      </c>
      <c r="Z13" s="157">
        <v>493188.27500000002</v>
      </c>
      <c r="AA13" s="157">
        <v>631986.07799999998</v>
      </c>
      <c r="AB13" s="157">
        <v>724351.82400000002</v>
      </c>
      <c r="AC13" s="157">
        <v>799598</v>
      </c>
      <c r="AD13" s="1">
        <v>891347.98600000003</v>
      </c>
      <c r="AE13" s="1">
        <v>969313.076</v>
      </c>
      <c r="AF13" s="1">
        <v>1082622.7069999999</v>
      </c>
      <c r="AG13" s="1">
        <v>1180865.1310000001</v>
      </c>
      <c r="AH13" s="1">
        <v>1297751.2220000001</v>
      </c>
      <c r="AI13" s="1">
        <v>1372749.851</v>
      </c>
      <c r="AK13" s="1">
        <v>1651282.3359999999</v>
      </c>
    </row>
    <row r="14" spans="1:39" ht="12.75" customHeight="1">
      <c r="A14" s="1" t="s">
        <v>28</v>
      </c>
      <c r="B14" s="1">
        <v>140413</v>
      </c>
      <c r="C14" s="1">
        <f>0+181386</f>
        <v>181386</v>
      </c>
      <c r="D14" s="1">
        <f>0+167384</f>
        <v>167384</v>
      </c>
      <c r="I14" s="1">
        <v>263314.141</v>
      </c>
      <c r="J14" s="157">
        <v>305362.109</v>
      </c>
      <c r="K14" s="1">
        <v>337474.89500000002</v>
      </c>
      <c r="L14" s="1">
        <v>363773.20799999998</v>
      </c>
      <c r="M14" s="1">
        <v>390991.23100000003</v>
      </c>
      <c r="N14" s="1">
        <v>411723.86300000001</v>
      </c>
      <c r="O14" s="1">
        <v>517314.81699999998</v>
      </c>
      <c r="R14" s="20">
        <v>541872.52300000004</v>
      </c>
      <c r="S14" s="1">
        <v>589657.22499999998</v>
      </c>
      <c r="T14" s="51">
        <v>720293.40099999995</v>
      </c>
      <c r="U14" s="1">
        <v>674433.35400000005</v>
      </c>
      <c r="V14" s="1">
        <v>750084.64300000004</v>
      </c>
      <c r="W14" s="157">
        <v>977226.65800000005</v>
      </c>
      <c r="X14" s="157">
        <v>870852.58600000001</v>
      </c>
      <c r="Y14" s="157">
        <v>929039.63500000001</v>
      </c>
      <c r="Z14" s="157">
        <v>1002358.561</v>
      </c>
      <c r="AA14" s="157">
        <v>1145077.1680000001</v>
      </c>
      <c r="AB14" s="157">
        <v>1334710.433</v>
      </c>
      <c r="AC14" s="157">
        <v>1401334</v>
      </c>
      <c r="AD14" s="1">
        <v>1491582.371</v>
      </c>
      <c r="AE14" s="1">
        <v>1519137.307</v>
      </c>
      <c r="AF14" s="1">
        <v>1516008.615</v>
      </c>
      <c r="AG14" s="1">
        <v>1585918.811</v>
      </c>
      <c r="AH14" s="1">
        <v>1656971.517</v>
      </c>
      <c r="AI14" s="1">
        <v>1719990.531</v>
      </c>
      <c r="AK14" s="1">
        <v>2001379.4069999999</v>
      </c>
    </row>
    <row r="15" spans="1:39" ht="12.75" customHeight="1">
      <c r="A15" s="1" t="s">
        <v>29</v>
      </c>
      <c r="B15" s="1">
        <f>14963+52951</f>
        <v>67914</v>
      </c>
      <c r="C15" s="1">
        <f>15459+56644</f>
        <v>72103</v>
      </c>
      <c r="D15" s="1">
        <f>17297+61232</f>
        <v>78529</v>
      </c>
      <c r="I15" s="1">
        <v>121075.39599999999</v>
      </c>
      <c r="J15" s="157">
        <v>140443.28099999999</v>
      </c>
      <c r="K15" s="1">
        <v>153924.85500000001</v>
      </c>
      <c r="L15" s="1">
        <v>160582.96400000001</v>
      </c>
      <c r="M15" s="1">
        <v>161830.51500000001</v>
      </c>
      <c r="N15" s="1">
        <v>170577.30300000001</v>
      </c>
      <c r="O15" s="1">
        <v>213570.628</v>
      </c>
      <c r="R15" s="20">
        <v>217465.53599999999</v>
      </c>
      <c r="S15" s="1">
        <v>237503.25399999999</v>
      </c>
      <c r="T15" s="51">
        <v>292849.25400000002</v>
      </c>
      <c r="U15" s="1">
        <v>249503.95699999999</v>
      </c>
      <c r="V15" s="1">
        <v>253473.10399999999</v>
      </c>
      <c r="W15" s="157">
        <v>355415.13799999998</v>
      </c>
      <c r="X15" s="157">
        <v>285081.201</v>
      </c>
      <c r="Y15" s="157">
        <v>301259.978</v>
      </c>
      <c r="Z15" s="157">
        <v>328079.54200000002</v>
      </c>
      <c r="AA15" s="157">
        <v>460826.93199999997</v>
      </c>
      <c r="AB15" s="157">
        <v>501143.64500000002</v>
      </c>
      <c r="AC15" s="157">
        <v>561897</v>
      </c>
      <c r="AD15" s="1">
        <v>625021.62100000004</v>
      </c>
      <c r="AE15" s="1">
        <v>675432.00300000003</v>
      </c>
      <c r="AF15" s="1">
        <v>734169.56200000003</v>
      </c>
      <c r="AG15" s="1">
        <v>790699.60100000002</v>
      </c>
      <c r="AH15" s="1">
        <v>850981.84600000002</v>
      </c>
      <c r="AI15" s="1">
        <v>909649.17500000005</v>
      </c>
      <c r="AK15" s="1">
        <v>1152522.3740000001</v>
      </c>
    </row>
    <row r="16" spans="1:39" ht="12.75" customHeight="1">
      <c r="A16" s="1" t="s">
        <v>30</v>
      </c>
      <c r="B16" s="1">
        <f>29371+84223</f>
        <v>113594</v>
      </c>
      <c r="C16" s="1">
        <f>27908+89979</f>
        <v>117887</v>
      </c>
      <c r="D16" s="1">
        <f>30697+100013</f>
        <v>130710</v>
      </c>
      <c r="I16" s="1">
        <v>207418.628</v>
      </c>
      <c r="J16" s="157">
        <v>245476.83300000001</v>
      </c>
      <c r="K16" s="1">
        <v>278058.09700000001</v>
      </c>
      <c r="L16" s="1">
        <v>302858.06699999998</v>
      </c>
      <c r="M16" s="1">
        <v>320887.277</v>
      </c>
      <c r="N16" s="1">
        <v>343577.34499999997</v>
      </c>
      <c r="O16" s="1">
        <v>422788.69400000002</v>
      </c>
      <c r="R16" s="20">
        <v>466423.7</v>
      </c>
      <c r="S16" s="1">
        <v>501641.64399999997</v>
      </c>
      <c r="T16" s="51">
        <v>593637.63300000003</v>
      </c>
      <c r="U16" s="1">
        <v>644142.65700000001</v>
      </c>
      <c r="V16" s="1">
        <v>694600.26399999997</v>
      </c>
      <c r="W16" s="157">
        <v>937316.09100000001</v>
      </c>
      <c r="X16" s="157">
        <v>864331.79799999995</v>
      </c>
      <c r="Y16" s="157">
        <v>956946.33499999996</v>
      </c>
      <c r="Z16" s="157">
        <v>1013942.5060000001</v>
      </c>
      <c r="AA16" s="157">
        <v>1270134.1129999999</v>
      </c>
      <c r="AB16" s="157">
        <v>1368193.747</v>
      </c>
      <c r="AC16" s="157">
        <v>1564059</v>
      </c>
      <c r="AD16" s="1">
        <v>1687857.36</v>
      </c>
      <c r="AE16" s="1">
        <v>1842920.906</v>
      </c>
      <c r="AF16" s="1">
        <v>1924483.618</v>
      </c>
      <c r="AG16" s="1">
        <v>2032930.862</v>
      </c>
      <c r="AH16" s="1">
        <v>2138559.2960000001</v>
      </c>
      <c r="AI16" s="1">
        <v>2257232.9759999998</v>
      </c>
      <c r="AK16" s="1">
        <v>2928808.5920000002</v>
      </c>
    </row>
    <row r="17" spans="1:37" ht="12.75" customHeight="1">
      <c r="A17" s="1" t="s">
        <v>31</v>
      </c>
      <c r="B17" s="1">
        <v>53033</v>
      </c>
      <c r="C17" s="1">
        <f>0+55220</f>
        <v>55220</v>
      </c>
      <c r="D17" s="1">
        <f>0+59185</f>
        <v>59185</v>
      </c>
      <c r="I17" s="1">
        <v>117477.826</v>
      </c>
      <c r="J17" s="157">
        <v>142136.02499999999</v>
      </c>
      <c r="K17" s="1">
        <v>150383.13500000001</v>
      </c>
      <c r="L17" s="1">
        <v>163226.39499999999</v>
      </c>
      <c r="M17" s="1">
        <v>175341.96799999999</v>
      </c>
      <c r="N17" s="1">
        <v>188358.875</v>
      </c>
      <c r="O17" s="1">
        <v>235420.78643000001</v>
      </c>
      <c r="R17" s="20">
        <v>243054.89600000001</v>
      </c>
      <c r="S17" s="1">
        <v>247447.446</v>
      </c>
      <c r="T17" s="51">
        <v>278228.73499999999</v>
      </c>
      <c r="U17" s="1">
        <v>240438.54699999999</v>
      </c>
      <c r="V17" s="1">
        <v>319478.56199999998</v>
      </c>
      <c r="W17" s="157">
        <v>481931.87599999999</v>
      </c>
      <c r="X17" s="157">
        <v>434993.40500000003</v>
      </c>
      <c r="Y17" s="157">
        <v>474567.44300000003</v>
      </c>
      <c r="Z17" s="157">
        <v>533416.94799999997</v>
      </c>
      <c r="AA17" s="157">
        <v>636540.71699999995</v>
      </c>
      <c r="AB17" s="157">
        <v>737837.77099999995</v>
      </c>
      <c r="AC17" s="157">
        <v>804411</v>
      </c>
      <c r="AD17" s="1">
        <v>869966.35800000001</v>
      </c>
      <c r="AE17" s="1">
        <v>929396.174</v>
      </c>
      <c r="AF17" s="1">
        <v>983187.38</v>
      </c>
      <c r="AG17" s="1">
        <v>1039675.573</v>
      </c>
      <c r="AH17" s="1">
        <v>1084038.453</v>
      </c>
      <c r="AI17" s="1">
        <v>1166946.618</v>
      </c>
      <c r="AK17" s="1">
        <v>1504170.754</v>
      </c>
    </row>
    <row r="18" spans="1:37" ht="12.75" customHeight="1">
      <c r="A18" s="1" t="s">
        <v>32</v>
      </c>
      <c r="B18" s="1">
        <f>53463+34867</f>
        <v>88330</v>
      </c>
      <c r="C18" s="1">
        <f>53056+36632</f>
        <v>89688</v>
      </c>
      <c r="D18" s="1">
        <f>59822+42789</f>
        <v>102611</v>
      </c>
      <c r="I18" s="1">
        <v>207812.45600000001</v>
      </c>
      <c r="J18" s="157">
        <v>228893.15400000001</v>
      </c>
      <c r="K18" s="1">
        <v>249649.25700000001</v>
      </c>
      <c r="L18" s="1">
        <v>272411.78499999997</v>
      </c>
      <c r="M18" s="1">
        <v>286117.98700000002</v>
      </c>
      <c r="N18" s="1">
        <v>299158.80129999999</v>
      </c>
      <c r="O18" s="1">
        <v>351604.35100000002</v>
      </c>
      <c r="R18" s="20">
        <v>375060.55200000003</v>
      </c>
      <c r="S18" s="1">
        <v>397221.17700000003</v>
      </c>
      <c r="T18" s="51">
        <v>470724.14899999998</v>
      </c>
      <c r="U18" s="1">
        <v>443171.86599999998</v>
      </c>
      <c r="V18" s="1">
        <v>525465.326</v>
      </c>
      <c r="W18" s="157">
        <v>771192.31099999999</v>
      </c>
      <c r="X18" s="157">
        <v>684726.01699999999</v>
      </c>
      <c r="Y18" s="157">
        <v>748655.33400000003</v>
      </c>
      <c r="Z18" s="157">
        <v>815020.46499999997</v>
      </c>
      <c r="AA18" s="157">
        <v>1100140.0160000001</v>
      </c>
      <c r="AB18" s="157">
        <v>1279662.4410000001</v>
      </c>
      <c r="AC18" s="157">
        <v>1392171</v>
      </c>
      <c r="AD18" s="1">
        <v>1484795.0330000001</v>
      </c>
      <c r="AE18" s="1">
        <v>1560095.496</v>
      </c>
      <c r="AF18" s="1">
        <v>1639239.6880000001</v>
      </c>
      <c r="AG18" s="1">
        <v>1745100.149</v>
      </c>
      <c r="AH18" s="1">
        <v>1843936.344</v>
      </c>
      <c r="AI18" s="1">
        <v>1945696.567</v>
      </c>
      <c r="AK18" s="1">
        <v>2307063.9819999998</v>
      </c>
    </row>
    <row r="19" spans="1:37" ht="12.75" customHeight="1">
      <c r="A19" s="1" t="s">
        <v>33</v>
      </c>
      <c r="B19" s="1">
        <f>34935+74391</f>
        <v>109326</v>
      </c>
      <c r="C19" s="1">
        <f>37561+79404</f>
        <v>116965</v>
      </c>
      <c r="D19" s="1">
        <f>40337+85973</f>
        <v>126310</v>
      </c>
      <c r="I19" s="1">
        <v>202436.31200000001</v>
      </c>
      <c r="J19" s="157">
        <v>217268.83199999999</v>
      </c>
      <c r="K19" s="1">
        <v>234030.636</v>
      </c>
      <c r="L19" s="1">
        <v>248010.26500000001</v>
      </c>
      <c r="M19" s="1">
        <v>256566.99</v>
      </c>
      <c r="N19" s="1">
        <v>271318.20799999998</v>
      </c>
      <c r="O19" s="1">
        <v>330299.49702999997</v>
      </c>
      <c r="R19" s="27">
        <v>406242.484</v>
      </c>
      <c r="S19" s="1">
        <v>439153.41</v>
      </c>
      <c r="T19" s="51">
        <v>492519.38299999997</v>
      </c>
      <c r="U19" s="1">
        <v>478836.47200000001</v>
      </c>
      <c r="V19" s="1">
        <v>499782.62599999999</v>
      </c>
      <c r="W19" s="157">
        <v>648427.86699999997</v>
      </c>
      <c r="X19" s="157">
        <v>558228.60199999996</v>
      </c>
      <c r="Y19" s="157">
        <v>558648.58200000005</v>
      </c>
      <c r="Z19" s="157">
        <v>580905.89099999995</v>
      </c>
      <c r="AA19" s="157">
        <v>888561.299</v>
      </c>
      <c r="AB19" s="157">
        <v>989594.58100000001</v>
      </c>
      <c r="AC19" s="157">
        <v>1090733</v>
      </c>
      <c r="AD19" s="1">
        <v>1209223.696</v>
      </c>
      <c r="AE19" s="1">
        <v>1264539.547</v>
      </c>
      <c r="AF19" s="1">
        <v>1336507.8030000001</v>
      </c>
      <c r="AG19" s="1">
        <v>1446085.777</v>
      </c>
      <c r="AH19" s="1">
        <v>1466717.351</v>
      </c>
      <c r="AI19" s="1">
        <v>1498837.6939999999</v>
      </c>
      <c r="AK19" s="1">
        <v>1805763.0660000001</v>
      </c>
    </row>
    <row r="20" spans="1:37" ht="12.75" customHeight="1">
      <c r="A20" s="1" t="s">
        <v>34</v>
      </c>
      <c r="B20" s="1">
        <f>90438+135504</f>
        <v>225942</v>
      </c>
      <c r="C20" s="1">
        <f>87685+140931</f>
        <v>228616</v>
      </c>
      <c r="D20" s="1">
        <f>150603+221005</f>
        <v>371608</v>
      </c>
      <c r="I20" s="1">
        <v>560898.40500000003</v>
      </c>
      <c r="J20" s="157">
        <v>637788.69700000004</v>
      </c>
      <c r="K20" s="1">
        <v>758414.35900000005</v>
      </c>
      <c r="L20" s="1">
        <v>808435.03899999999</v>
      </c>
      <c r="M20" s="1">
        <v>866020.20499999996</v>
      </c>
      <c r="N20" s="1">
        <v>1000672.184</v>
      </c>
      <c r="O20" s="1">
        <v>1292531.936</v>
      </c>
      <c r="R20" s="20">
        <v>1427179.6059999999</v>
      </c>
      <c r="S20" s="1">
        <v>1561603.2990000001</v>
      </c>
      <c r="T20" s="51">
        <v>1728073.42</v>
      </c>
      <c r="U20" s="1">
        <v>1607192.0209999999</v>
      </c>
      <c r="V20" s="1">
        <v>1830159.0260000001</v>
      </c>
      <c r="W20" s="157">
        <v>2627378.6949999998</v>
      </c>
      <c r="X20" s="157">
        <v>2333174.9169999999</v>
      </c>
      <c r="Y20" s="157">
        <v>2602198.017</v>
      </c>
      <c r="Z20" s="157">
        <v>2801594.3020000001</v>
      </c>
      <c r="AA20" s="157">
        <v>3538361.34</v>
      </c>
      <c r="AB20" s="157">
        <v>4129871.696</v>
      </c>
      <c r="AC20" s="157">
        <v>4571063</v>
      </c>
      <c r="AD20" s="1">
        <v>4892026.7520000003</v>
      </c>
      <c r="AE20" s="1">
        <v>4883144.5559999999</v>
      </c>
      <c r="AF20" s="1">
        <v>5142474.5</v>
      </c>
      <c r="AG20" s="1">
        <v>5561202.4450000003</v>
      </c>
      <c r="AH20" s="1">
        <v>6116625.4790000003</v>
      </c>
      <c r="AI20" s="1">
        <v>6386275.466</v>
      </c>
      <c r="AK20" s="1">
        <v>8213037.0769999996</v>
      </c>
    </row>
    <row r="21" spans="1:37" ht="12.75" customHeight="1">
      <c r="A21" s="1" t="s">
        <v>35</v>
      </c>
      <c r="B21" s="1">
        <f>68911+132300</f>
        <v>201211</v>
      </c>
      <c r="C21" s="1">
        <f>79355+156652</f>
        <v>236007</v>
      </c>
      <c r="D21" s="1">
        <f>90087+172740</f>
        <v>262827</v>
      </c>
      <c r="I21" s="1">
        <v>428065.55200000003</v>
      </c>
      <c r="J21" s="157">
        <v>490063.20500000002</v>
      </c>
      <c r="K21" s="1">
        <v>544395.33400000003</v>
      </c>
      <c r="L21" s="1">
        <v>595166.16099999996</v>
      </c>
      <c r="M21" s="1">
        <v>642587.13800000004</v>
      </c>
      <c r="N21" s="1">
        <v>657504.17599999998</v>
      </c>
      <c r="O21" s="1">
        <v>734988.26</v>
      </c>
      <c r="R21" s="20">
        <v>731790.84400000004</v>
      </c>
      <c r="S21" s="1">
        <v>757382.39899999998</v>
      </c>
      <c r="T21" s="51">
        <v>835928.91500000004</v>
      </c>
      <c r="U21" s="1">
        <v>820763.77599999995</v>
      </c>
      <c r="V21" s="1">
        <v>961300.27099999995</v>
      </c>
      <c r="W21" s="157">
        <v>1222937.8419999999</v>
      </c>
      <c r="X21" s="157">
        <v>1150268.8430000001</v>
      </c>
      <c r="Y21" s="157">
        <v>1240115.6599999999</v>
      </c>
      <c r="Z21" s="157">
        <v>1356669.4720000001</v>
      </c>
      <c r="AA21" s="157">
        <v>1758572.75</v>
      </c>
      <c r="AB21" s="157">
        <v>1898874.8430000001</v>
      </c>
      <c r="AC21" s="157">
        <v>2107531</v>
      </c>
      <c r="AD21" s="1">
        <v>2289474.1</v>
      </c>
      <c r="AE21" s="1">
        <v>2378238.5980000002</v>
      </c>
      <c r="AF21" s="1">
        <v>2524609.5430000001</v>
      </c>
      <c r="AG21" s="1">
        <v>2669294.057</v>
      </c>
      <c r="AH21" s="1">
        <v>2863016.4780000001</v>
      </c>
      <c r="AI21" s="1">
        <v>2998913.7230000002</v>
      </c>
      <c r="AK21" s="1">
        <v>3791226.98</v>
      </c>
    </row>
    <row r="22" spans="1:37" ht="12.75" customHeight="1">
      <c r="A22" s="30" t="s">
        <v>36</v>
      </c>
      <c r="B22" s="30">
        <f>30022+21234</f>
        <v>51256</v>
      </c>
      <c r="C22" s="30">
        <f>20262+21459</f>
        <v>41721</v>
      </c>
      <c r="D22" s="30">
        <f>20443+27276</f>
        <v>47719</v>
      </c>
      <c r="E22" s="30"/>
      <c r="F22" s="30"/>
      <c r="G22" s="30"/>
      <c r="H22" s="30"/>
      <c r="I22" s="30">
        <v>111420.336</v>
      </c>
      <c r="J22" s="158">
        <v>128429.81600000001</v>
      </c>
      <c r="K22" s="30">
        <v>147816.12100000001</v>
      </c>
      <c r="L22" s="30">
        <v>157319.913</v>
      </c>
      <c r="M22" s="30">
        <v>167231.617</v>
      </c>
      <c r="N22" s="30">
        <v>169462.182</v>
      </c>
      <c r="O22" s="30">
        <v>205859.48189</v>
      </c>
      <c r="P22" s="30"/>
      <c r="Q22" s="30"/>
      <c r="R22" s="30">
        <v>210622.32399999999</v>
      </c>
      <c r="S22" s="30">
        <v>219977.43299999999</v>
      </c>
      <c r="T22" s="68">
        <v>240447.524</v>
      </c>
      <c r="U22" s="30">
        <v>224130.91200000001</v>
      </c>
      <c r="V22" s="30">
        <v>258768.476</v>
      </c>
      <c r="W22" s="158">
        <v>351260.92200000002</v>
      </c>
      <c r="X22" s="158">
        <v>322513.70299999998</v>
      </c>
      <c r="Y22" s="158">
        <v>360309.005</v>
      </c>
      <c r="Z22" s="158">
        <v>389337.15500000003</v>
      </c>
      <c r="AA22" s="158">
        <v>487742.364</v>
      </c>
      <c r="AB22" s="158">
        <v>512521.1</v>
      </c>
      <c r="AC22" s="158">
        <v>575219</v>
      </c>
      <c r="AD22" s="30">
        <v>607192.08700000006</v>
      </c>
      <c r="AE22" s="30">
        <v>610551.01699999999</v>
      </c>
      <c r="AF22" s="30">
        <v>671826.76699999999</v>
      </c>
      <c r="AG22" s="30">
        <v>696491.26699999999</v>
      </c>
      <c r="AH22" s="30">
        <v>725460.19700000004</v>
      </c>
      <c r="AI22" s="30">
        <v>751774.33900000004</v>
      </c>
      <c r="AJ22" s="30"/>
      <c r="AK22" s="30">
        <v>913295.44799999997</v>
      </c>
    </row>
    <row r="23" spans="1:37" ht="12.75" customHeight="1">
      <c r="A23" s="6" t="s">
        <v>37</v>
      </c>
      <c r="J23" s="58">
        <f t="shared" ref="J23" si="18">SUM(J25:J37)</f>
        <v>2479181.3740000003</v>
      </c>
      <c r="M23" s="58">
        <f t="shared" ref="M23" si="19">SUM(M25:M37)</f>
        <v>3469059.6049999995</v>
      </c>
      <c r="O23" s="58">
        <f t="shared" ref="O23" si="20">SUM(O25:O37)</f>
        <v>4438166.1021800004</v>
      </c>
      <c r="R23" s="58">
        <f t="shared" ref="R23:AK23" si="21">SUM(R25:R37)</f>
        <v>4569930.4850000003</v>
      </c>
      <c r="S23" s="58">
        <f t="shared" si="21"/>
        <v>4874107.8849999998</v>
      </c>
      <c r="T23" s="67">
        <f t="shared" si="21"/>
        <v>5273247.629999999</v>
      </c>
      <c r="U23" s="58">
        <f t="shared" si="21"/>
        <v>4690027.0049999999</v>
      </c>
      <c r="V23" s="58">
        <f t="shared" si="21"/>
        <v>5477202.2420000006</v>
      </c>
      <c r="W23" s="58">
        <f t="shared" si="21"/>
        <v>7575955.4880000008</v>
      </c>
      <c r="X23" s="58">
        <f t="shared" si="21"/>
        <v>6834916.3470000001</v>
      </c>
      <c r="Y23" s="58">
        <f t="shared" si="21"/>
        <v>7278425.6029999992</v>
      </c>
      <c r="Z23" s="58">
        <f t="shared" si="21"/>
        <v>7894689.415000001</v>
      </c>
      <c r="AA23" s="58">
        <f t="shared" si="21"/>
        <v>10423778.094999999</v>
      </c>
      <c r="AB23" s="58">
        <f t="shared" si="21"/>
        <v>12251063.15</v>
      </c>
      <c r="AC23" s="58">
        <f t="shared" si="21"/>
        <v>14019934</v>
      </c>
      <c r="AD23" s="58">
        <f t="shared" si="21"/>
        <v>16104511.771</v>
      </c>
      <c r="AE23" s="58">
        <f t="shared" si="21"/>
        <v>16988145.701999996</v>
      </c>
      <c r="AF23" s="58">
        <f t="shared" si="21"/>
        <v>17909585.602000002</v>
      </c>
      <c r="AG23" s="58">
        <f t="shared" si="21"/>
        <v>19116037.063999999</v>
      </c>
      <c r="AH23" s="58">
        <f t="shared" si="21"/>
        <v>20282294.314999998</v>
      </c>
      <c r="AI23" s="58">
        <f t="shared" si="21"/>
        <v>21053201.800000001</v>
      </c>
      <c r="AJ23" s="58">
        <f t="shared" si="21"/>
        <v>0</v>
      </c>
      <c r="AK23" s="58">
        <f t="shared" si="21"/>
        <v>26729224.118000001</v>
      </c>
    </row>
    <row r="24" spans="1:37" ht="12.75" customHeight="1">
      <c r="A24" s="6" t="s">
        <v>94</v>
      </c>
      <c r="T24" s="51"/>
    </row>
    <row r="25" spans="1:37" ht="12.75" customHeight="1">
      <c r="A25" s="1" t="s">
        <v>38</v>
      </c>
      <c r="J25" s="157">
        <v>33813.557999999997</v>
      </c>
      <c r="M25" s="1">
        <v>43780.853999999999</v>
      </c>
      <c r="O25" s="1">
        <v>53466.298999999999</v>
      </c>
      <c r="R25" s="20">
        <v>48136.773000000001</v>
      </c>
      <c r="S25" s="1">
        <v>50024.353999999999</v>
      </c>
      <c r="T25" s="51">
        <v>53834.974999999999</v>
      </c>
      <c r="U25" s="1">
        <v>54139.773999999998</v>
      </c>
      <c r="V25" s="1">
        <v>61080.777000000002</v>
      </c>
      <c r="W25" s="157">
        <v>75091.532999999996</v>
      </c>
      <c r="X25" s="157">
        <v>78078.192999999999</v>
      </c>
      <c r="Y25" s="157">
        <v>83329.747000000003</v>
      </c>
      <c r="Z25" s="157">
        <v>90675.4</v>
      </c>
      <c r="AA25" s="157">
        <v>105856.171</v>
      </c>
      <c r="AB25" s="157">
        <v>118072.781</v>
      </c>
      <c r="AC25" s="157">
        <v>128513</v>
      </c>
      <c r="AD25" s="1">
        <v>136451.97500000001</v>
      </c>
      <c r="AE25" s="1">
        <v>139831.66</v>
      </c>
      <c r="AF25" s="1">
        <v>139241.261</v>
      </c>
      <c r="AG25" s="1">
        <v>143444.421</v>
      </c>
      <c r="AH25" s="1">
        <v>150014.829</v>
      </c>
      <c r="AI25" s="1">
        <v>151585.22</v>
      </c>
      <c r="AK25" s="1">
        <v>177262.76199999999</v>
      </c>
    </row>
    <row r="26" spans="1:37" ht="12.75" customHeight="1">
      <c r="A26" s="1" t="s">
        <v>39</v>
      </c>
      <c r="J26" s="157">
        <v>264274.00199999998</v>
      </c>
      <c r="M26" s="1">
        <v>319661.80099999998</v>
      </c>
      <c r="O26" s="1">
        <v>387685.049</v>
      </c>
      <c r="R26" s="20">
        <v>420050.163</v>
      </c>
      <c r="S26" s="1">
        <v>445301.57299999997</v>
      </c>
      <c r="T26" s="51">
        <v>488054.614</v>
      </c>
      <c r="U26" s="1">
        <v>409047.74200000003</v>
      </c>
      <c r="V26" s="1">
        <v>496651.90299999999</v>
      </c>
      <c r="W26" s="157">
        <v>719163.01399999997</v>
      </c>
      <c r="X26" s="157">
        <v>624923.31200000003</v>
      </c>
      <c r="Y26" s="157">
        <v>698573.40899999999</v>
      </c>
      <c r="Z26" s="157">
        <v>767343.79200000002</v>
      </c>
      <c r="AA26" s="157">
        <v>1132166.1580000001</v>
      </c>
      <c r="AB26" s="157">
        <v>1353536.8559999999</v>
      </c>
      <c r="AC26" s="157">
        <v>1553237</v>
      </c>
      <c r="AD26" s="1">
        <v>1760996.8230000001</v>
      </c>
      <c r="AE26" s="1">
        <v>1892565.0959999999</v>
      </c>
      <c r="AF26" s="1">
        <v>2053654.709</v>
      </c>
      <c r="AG26" s="1">
        <v>2321290.7540000002</v>
      </c>
      <c r="AH26" s="1">
        <v>2577862.6170000001</v>
      </c>
      <c r="AI26" s="1">
        <v>2790815.8760000002</v>
      </c>
      <c r="AK26" s="1">
        <v>3482437.2949999999</v>
      </c>
    </row>
    <row r="27" spans="1:37" ht="12.75" customHeight="1">
      <c r="A27" s="1" t="s">
        <v>40</v>
      </c>
      <c r="J27" s="157">
        <v>1023099.934</v>
      </c>
      <c r="M27" s="1">
        <v>1558234.7339999999</v>
      </c>
      <c r="O27" s="1">
        <v>2013420.352</v>
      </c>
      <c r="R27" s="20">
        <v>2005146.3459999999</v>
      </c>
      <c r="S27" s="1">
        <v>2126366.2710000002</v>
      </c>
      <c r="T27" s="51">
        <v>2164763.6129999999</v>
      </c>
      <c r="U27" s="1">
        <v>1848937.7549999999</v>
      </c>
      <c r="V27" s="1">
        <v>2281845.3250000002</v>
      </c>
      <c r="W27" s="157">
        <v>3292085.3480000002</v>
      </c>
      <c r="X27" s="157">
        <v>2797485</v>
      </c>
      <c r="Y27" s="157">
        <v>2919860.2590000001</v>
      </c>
      <c r="Z27" s="157">
        <v>3226178.5419999999</v>
      </c>
      <c r="AA27" s="157">
        <v>4474498.3629999999</v>
      </c>
      <c r="AB27" s="157">
        <v>5359274.5999999996</v>
      </c>
      <c r="AC27" s="157">
        <v>6152654</v>
      </c>
      <c r="AD27" s="1">
        <v>7339032.8720000004</v>
      </c>
      <c r="AE27" s="1">
        <v>7646038.6689999998</v>
      </c>
      <c r="AF27" s="1">
        <v>8036308.9840000002</v>
      </c>
      <c r="AG27" s="1">
        <v>8525854.7689999994</v>
      </c>
      <c r="AH27" s="1">
        <v>9026018.8699999992</v>
      </c>
      <c r="AI27" s="1">
        <v>9354780.1300000008</v>
      </c>
      <c r="AK27" s="1">
        <v>12551791.511</v>
      </c>
    </row>
    <row r="28" spans="1:37" ht="12.75" customHeight="1">
      <c r="A28" s="1" t="s">
        <v>41</v>
      </c>
      <c r="J28" s="157">
        <v>373039.68800000002</v>
      </c>
      <c r="M28" s="1">
        <v>444734.13099999999</v>
      </c>
      <c r="O28" s="1">
        <v>524816.91622000001</v>
      </c>
      <c r="R28" s="20">
        <v>553693.20400000003</v>
      </c>
      <c r="S28" s="1">
        <v>585564.76599999995</v>
      </c>
      <c r="T28" s="51">
        <v>651019.68400000001</v>
      </c>
      <c r="U28" s="1">
        <v>595254.804</v>
      </c>
      <c r="V28" s="1">
        <v>635702.68799999997</v>
      </c>
      <c r="W28" s="157">
        <v>844283.63</v>
      </c>
      <c r="X28" s="157">
        <v>946557.37300000002</v>
      </c>
      <c r="Y28" s="157">
        <v>1007304.8860000001</v>
      </c>
      <c r="Z28" s="157">
        <v>1087258.189</v>
      </c>
      <c r="AA28" s="157">
        <v>1317370.757</v>
      </c>
      <c r="AB28" s="157">
        <v>1480564.182</v>
      </c>
      <c r="AC28" s="157">
        <v>1670864</v>
      </c>
      <c r="AD28" s="1">
        <v>1834737.7390000001</v>
      </c>
      <c r="AE28" s="1">
        <v>1935088.031</v>
      </c>
      <c r="AF28" s="1">
        <v>2069131.544</v>
      </c>
      <c r="AG28" s="1">
        <v>2228878.4040000001</v>
      </c>
      <c r="AH28" s="1">
        <v>2373421.6639999999</v>
      </c>
      <c r="AI28" s="1">
        <v>2535000.9</v>
      </c>
      <c r="AK28" s="1">
        <v>2892359.9380000001</v>
      </c>
    </row>
    <row r="29" spans="1:37" ht="12.75" customHeight="1">
      <c r="A29" s="1" t="s">
        <v>42</v>
      </c>
      <c r="J29" s="157">
        <v>34612.087</v>
      </c>
      <c r="M29" s="1">
        <v>35502.476000000002</v>
      </c>
      <c r="O29" s="1">
        <v>67607.895999999993</v>
      </c>
      <c r="R29" s="20">
        <v>78319.856</v>
      </c>
      <c r="S29" s="1">
        <v>79745.25</v>
      </c>
      <c r="T29" s="51">
        <v>81825.789999999994</v>
      </c>
      <c r="U29" s="1">
        <v>65028.353000000003</v>
      </c>
      <c r="V29" s="1">
        <v>82792.607999999993</v>
      </c>
      <c r="W29" s="157">
        <v>106306.446</v>
      </c>
      <c r="X29" s="157">
        <v>94868.96</v>
      </c>
      <c r="Y29" s="157">
        <v>105635.614</v>
      </c>
      <c r="Z29" s="157">
        <v>133875.46900000001</v>
      </c>
      <c r="AA29" s="157">
        <v>160927.39199999999</v>
      </c>
      <c r="AB29" s="157">
        <v>175056.21100000001</v>
      </c>
      <c r="AC29" s="157">
        <v>247317</v>
      </c>
      <c r="AD29" s="1">
        <v>272939.69699999999</v>
      </c>
      <c r="AE29" s="1">
        <v>284473.12</v>
      </c>
      <c r="AF29" s="1">
        <v>298149.60499999998</v>
      </c>
      <c r="AG29" s="1">
        <v>312076.804</v>
      </c>
      <c r="AH29" s="1">
        <v>323941.80200000003</v>
      </c>
      <c r="AI29" s="1">
        <v>324338.94300000003</v>
      </c>
      <c r="AK29" s="1">
        <v>339923.57500000001</v>
      </c>
    </row>
    <row r="30" spans="1:37" ht="12.75" customHeight="1">
      <c r="A30" s="1" t="s">
        <v>43</v>
      </c>
      <c r="J30" s="157">
        <v>49107.260999999999</v>
      </c>
      <c r="M30" s="1">
        <v>73755.057000000001</v>
      </c>
      <c r="O30" s="1">
        <v>115307.906</v>
      </c>
      <c r="R30" s="20">
        <v>122057.461</v>
      </c>
      <c r="S30" s="1">
        <v>133186.34599999999</v>
      </c>
      <c r="T30" s="51">
        <v>135273.459</v>
      </c>
      <c r="U30" s="1">
        <v>117538.736</v>
      </c>
      <c r="V30" s="1">
        <v>125566.417</v>
      </c>
      <c r="W30" s="157">
        <v>189958.019</v>
      </c>
      <c r="X30" s="157">
        <v>165672.75599999999</v>
      </c>
      <c r="Y30" s="157">
        <v>176682.53700000001</v>
      </c>
      <c r="Z30" s="157">
        <v>187426.65</v>
      </c>
      <c r="AA30" s="157">
        <v>252101.93100000001</v>
      </c>
      <c r="AB30" s="157">
        <v>274651.12900000002</v>
      </c>
      <c r="AC30" s="157">
        <v>310609</v>
      </c>
      <c r="AD30" s="1">
        <v>338028.82199999999</v>
      </c>
      <c r="AE30" s="1">
        <v>352550.549</v>
      </c>
      <c r="AF30" s="1">
        <v>363166.342</v>
      </c>
      <c r="AG30" s="1">
        <v>389102.39600000001</v>
      </c>
      <c r="AH30" s="1">
        <v>393614.527</v>
      </c>
      <c r="AI30" s="1">
        <v>396837.91399999999</v>
      </c>
      <c r="AK30" s="1">
        <v>496772.59299999999</v>
      </c>
    </row>
    <row r="31" spans="1:37" ht="12.75" customHeight="1">
      <c r="A31" s="1" t="s">
        <v>44</v>
      </c>
      <c r="J31" s="157">
        <v>41964.201999999997</v>
      </c>
      <c r="M31" s="1">
        <v>75644.134999999995</v>
      </c>
      <c r="O31" s="1">
        <v>113008.308</v>
      </c>
      <c r="R31" s="27">
        <v>115915.79700000001</v>
      </c>
      <c r="S31" s="1">
        <v>121846.03599999999</v>
      </c>
      <c r="T31" s="51">
        <v>145642.85999999999</v>
      </c>
      <c r="U31" s="1">
        <v>149060.636</v>
      </c>
      <c r="V31" s="1">
        <v>157439.136</v>
      </c>
      <c r="W31" s="157">
        <v>207652.38099999999</v>
      </c>
      <c r="X31" s="157">
        <v>188043.98</v>
      </c>
      <c r="Y31" s="157">
        <v>204558.00099999999</v>
      </c>
      <c r="Z31" s="157">
        <v>210467.329</v>
      </c>
      <c r="AA31" s="157">
        <v>258155.71100000001</v>
      </c>
      <c r="AB31" s="157">
        <v>281115.34999999998</v>
      </c>
      <c r="AC31" s="157">
        <v>306889</v>
      </c>
      <c r="AD31" s="1">
        <v>319380.39600000001</v>
      </c>
      <c r="AE31" s="1">
        <v>329977.40700000001</v>
      </c>
      <c r="AF31" s="1">
        <v>336845.185</v>
      </c>
      <c r="AG31" s="1">
        <v>344242.84299999999</v>
      </c>
      <c r="AH31" s="1">
        <v>342090.821</v>
      </c>
      <c r="AI31" s="1">
        <v>354710.76899999997</v>
      </c>
      <c r="AK31" s="1">
        <v>420704.87199999997</v>
      </c>
    </row>
    <row r="32" spans="1:37" ht="12.75" customHeight="1">
      <c r="A32" s="1" t="s">
        <v>45</v>
      </c>
      <c r="J32" s="157">
        <v>41283.784</v>
      </c>
      <c r="M32" s="1">
        <v>60092.464999999997</v>
      </c>
      <c r="O32" s="1">
        <v>74058.210000000006</v>
      </c>
      <c r="R32" s="27">
        <v>90343.577999999994</v>
      </c>
      <c r="S32" s="1">
        <v>101271.391</v>
      </c>
      <c r="T32" s="51">
        <v>122822.306</v>
      </c>
      <c r="U32" s="1">
        <v>109417.298</v>
      </c>
      <c r="V32" s="1">
        <v>153279.31</v>
      </c>
      <c r="W32" s="157">
        <v>223502.79399999999</v>
      </c>
      <c r="X32" s="157">
        <v>205716.50700000001</v>
      </c>
      <c r="Y32" s="157">
        <v>224701.35800000001</v>
      </c>
      <c r="Z32" s="157">
        <v>244158.77499999999</v>
      </c>
      <c r="AA32" s="157">
        <v>266320.94900000002</v>
      </c>
      <c r="AB32" s="157">
        <v>295104.65000000002</v>
      </c>
      <c r="AC32" s="157">
        <v>324511</v>
      </c>
      <c r="AD32" s="1">
        <v>354272.17800000001</v>
      </c>
      <c r="AE32" s="1">
        <v>372707.03899999999</v>
      </c>
      <c r="AF32" s="1">
        <v>398241.728</v>
      </c>
      <c r="AG32" s="1">
        <v>406535.25599999999</v>
      </c>
      <c r="AH32" s="1">
        <v>436454.48</v>
      </c>
      <c r="AI32" s="1">
        <v>457907.79700000002</v>
      </c>
      <c r="AK32" s="1">
        <v>562659.01300000004</v>
      </c>
    </row>
    <row r="33" spans="1:37" ht="12.75" customHeight="1">
      <c r="A33" s="1" t="s">
        <v>46</v>
      </c>
      <c r="J33" s="157">
        <v>70147.464999999997</v>
      </c>
      <c r="M33" s="1">
        <v>88190.365999999995</v>
      </c>
      <c r="O33" s="1">
        <v>128503.54796</v>
      </c>
      <c r="R33" s="27">
        <v>115958.56</v>
      </c>
      <c r="S33" s="1">
        <v>120000.489</v>
      </c>
      <c r="T33" s="51">
        <v>137088.65100000001</v>
      </c>
      <c r="U33" s="1">
        <v>103791.344</v>
      </c>
      <c r="V33" s="1">
        <v>115829.534</v>
      </c>
      <c r="W33" s="157">
        <v>183171.45800000001</v>
      </c>
      <c r="X33" s="157">
        <v>142964.595</v>
      </c>
      <c r="Y33" s="157">
        <v>152296.15900000001</v>
      </c>
      <c r="Z33" s="157">
        <v>159649.40299999999</v>
      </c>
      <c r="AA33" s="157">
        <v>236547.46599999999</v>
      </c>
      <c r="AB33" s="157">
        <v>273932.82699999999</v>
      </c>
      <c r="AC33" s="157">
        <v>307659</v>
      </c>
      <c r="AD33" s="1">
        <v>328495.038</v>
      </c>
      <c r="AE33" s="1">
        <v>344798.65399999998</v>
      </c>
      <c r="AF33" s="1">
        <v>362101.03399999999</v>
      </c>
      <c r="AG33" s="1">
        <v>367343.304</v>
      </c>
      <c r="AH33" s="1">
        <v>375872.78100000002</v>
      </c>
      <c r="AI33" s="1">
        <v>379636.43300000002</v>
      </c>
      <c r="AK33" s="1">
        <v>447869.098</v>
      </c>
    </row>
    <row r="34" spans="1:37" ht="12.75" customHeight="1">
      <c r="A34" s="1" t="s">
        <v>47</v>
      </c>
      <c r="J34" s="157">
        <v>172246.9</v>
      </c>
      <c r="M34" s="1">
        <v>238523.24299999999</v>
      </c>
      <c r="O34" s="1">
        <v>303545.435</v>
      </c>
      <c r="R34" s="20">
        <v>303086.72399999999</v>
      </c>
      <c r="S34" s="1">
        <v>337073.89</v>
      </c>
      <c r="T34" s="51">
        <v>413502.15899999999</v>
      </c>
      <c r="U34" s="1">
        <v>413224.84600000002</v>
      </c>
      <c r="V34" s="1">
        <v>461667.69500000001</v>
      </c>
      <c r="W34" s="157">
        <v>546151.47900000005</v>
      </c>
      <c r="X34" s="157">
        <v>529207.71799999999</v>
      </c>
      <c r="Y34" s="157">
        <v>505335.70899999997</v>
      </c>
      <c r="Z34" s="157">
        <v>533383.18400000001</v>
      </c>
      <c r="AA34" s="157">
        <v>599781.98400000005</v>
      </c>
      <c r="AB34" s="157">
        <v>815679.45900000003</v>
      </c>
      <c r="AC34" s="157">
        <v>926526</v>
      </c>
      <c r="AD34" s="1">
        <v>1028323.654</v>
      </c>
      <c r="AE34" s="1">
        <v>1085596.4180000001</v>
      </c>
      <c r="AF34" s="1">
        <v>1162099.7749999999</v>
      </c>
      <c r="AG34" s="1">
        <v>1195990.2169999999</v>
      </c>
      <c r="AH34" s="1">
        <v>1248220.8019999999</v>
      </c>
      <c r="AI34" s="1">
        <v>1247940.4939999999</v>
      </c>
      <c r="AK34" s="1">
        <v>1511658.452</v>
      </c>
    </row>
    <row r="35" spans="1:37" ht="12.75" customHeight="1">
      <c r="A35" s="1" t="s">
        <v>48</v>
      </c>
      <c r="J35" s="157">
        <v>103423.901</v>
      </c>
      <c r="M35" s="1">
        <v>153677.12899999999</v>
      </c>
      <c r="O35" s="1">
        <v>194632.83799999999</v>
      </c>
      <c r="R35" s="20">
        <v>208796.85800000001</v>
      </c>
      <c r="S35" s="1">
        <v>232716.535</v>
      </c>
      <c r="T35" s="51">
        <v>289512.64199999999</v>
      </c>
      <c r="U35" s="1">
        <v>263704.73499999999</v>
      </c>
      <c r="V35" s="1">
        <v>292573.70199999999</v>
      </c>
      <c r="W35" s="157">
        <v>388421.68</v>
      </c>
      <c r="X35" s="157">
        <v>345897.72600000002</v>
      </c>
      <c r="Y35" s="157">
        <v>372519.82900000003</v>
      </c>
      <c r="Z35" s="157">
        <v>393204.49800000002</v>
      </c>
      <c r="AA35" s="157">
        <v>520465.50300000003</v>
      </c>
      <c r="AB35" s="157">
        <v>583965.19700000004</v>
      </c>
      <c r="AC35" s="157">
        <v>701996</v>
      </c>
      <c r="AD35" s="1">
        <v>782826.39899999998</v>
      </c>
      <c r="AE35" s="1">
        <v>786722.99600000004</v>
      </c>
      <c r="AF35" s="1">
        <v>823968.58499999996</v>
      </c>
      <c r="AG35" s="1">
        <v>899188.42799999996</v>
      </c>
      <c r="AH35" s="1">
        <v>1002848.546</v>
      </c>
      <c r="AI35" s="1">
        <v>1048922.733</v>
      </c>
      <c r="AK35" s="1">
        <v>1325966.277</v>
      </c>
    </row>
    <row r="36" spans="1:37" ht="12.75" customHeight="1">
      <c r="A36" s="1" t="s">
        <v>49</v>
      </c>
      <c r="J36" s="157">
        <v>250451.288</v>
      </c>
      <c r="M36" s="1">
        <v>348294.47200000001</v>
      </c>
      <c r="O36" s="1">
        <v>427350.67099999997</v>
      </c>
      <c r="R36" s="20">
        <v>472767.39</v>
      </c>
      <c r="S36" s="1">
        <v>503201.54499999998</v>
      </c>
      <c r="T36" s="51">
        <v>552697.652</v>
      </c>
      <c r="U36" s="1">
        <v>533359.19700000004</v>
      </c>
      <c r="V36" s="1">
        <v>583588.73600000003</v>
      </c>
      <c r="W36" s="157">
        <v>756600.68799999997</v>
      </c>
      <c r="X36" s="157">
        <v>684532.76500000001</v>
      </c>
      <c r="Y36" s="157">
        <v>794977.64599999995</v>
      </c>
      <c r="Z36" s="157">
        <v>825857.96200000006</v>
      </c>
      <c r="AA36" s="157">
        <v>1041937.3959999999</v>
      </c>
      <c r="AB36" s="157">
        <v>1175893.2139999999</v>
      </c>
      <c r="AC36" s="157">
        <v>1322267</v>
      </c>
      <c r="AD36" s="1">
        <v>1537437.919</v>
      </c>
      <c r="AE36" s="1">
        <v>1743461.9669999999</v>
      </c>
      <c r="AF36" s="1">
        <v>1790406.916</v>
      </c>
      <c r="AG36" s="1">
        <v>1899928.41</v>
      </c>
      <c r="AH36" s="1">
        <v>1946144.433</v>
      </c>
      <c r="AI36" s="1">
        <v>1921961.125</v>
      </c>
      <c r="AK36" s="1">
        <v>2394493.7319999998</v>
      </c>
    </row>
    <row r="37" spans="1:37" ht="12.75" customHeight="1">
      <c r="A37" s="30" t="s">
        <v>50</v>
      </c>
      <c r="B37" s="30"/>
      <c r="C37" s="30"/>
      <c r="D37" s="30"/>
      <c r="E37" s="30"/>
      <c r="F37" s="30"/>
      <c r="G37" s="30"/>
      <c r="H37" s="30"/>
      <c r="I37" s="30"/>
      <c r="J37" s="158">
        <v>21717.304</v>
      </c>
      <c r="K37" s="30"/>
      <c r="L37" s="30"/>
      <c r="M37" s="30">
        <v>28968.741999999998</v>
      </c>
      <c r="N37" s="30"/>
      <c r="O37" s="30">
        <v>34762.673999999999</v>
      </c>
      <c r="P37" s="30"/>
      <c r="Q37" s="30"/>
      <c r="R37" s="40">
        <v>35657.775000000001</v>
      </c>
      <c r="S37" s="30">
        <v>37809.438999999998</v>
      </c>
      <c r="T37" s="68">
        <v>37209.224999999999</v>
      </c>
      <c r="U37" s="30">
        <v>27521.785</v>
      </c>
      <c r="V37" s="30">
        <v>29184.411</v>
      </c>
      <c r="W37" s="158">
        <v>43567.017999999996</v>
      </c>
      <c r="X37" s="158">
        <v>30967.462</v>
      </c>
      <c r="Y37" s="158">
        <v>32650.449000000001</v>
      </c>
      <c r="Z37" s="158">
        <v>35210.222000000002</v>
      </c>
      <c r="AA37" s="158">
        <v>57648.313999999998</v>
      </c>
      <c r="AB37" s="158">
        <v>64216.694000000003</v>
      </c>
      <c r="AC37" s="158">
        <v>66892</v>
      </c>
      <c r="AD37" s="30">
        <v>71588.259000000005</v>
      </c>
      <c r="AE37" s="30">
        <v>74334.096000000005</v>
      </c>
      <c r="AF37" s="30">
        <v>76269.933999999994</v>
      </c>
      <c r="AG37" s="30">
        <v>82161.058000000005</v>
      </c>
      <c r="AH37" s="30">
        <v>85788.142999999996</v>
      </c>
      <c r="AI37" s="30">
        <v>88763.466</v>
      </c>
      <c r="AJ37" s="30"/>
      <c r="AK37" s="30">
        <v>125325</v>
      </c>
    </row>
    <row r="38" spans="1:37" ht="12.75" customHeight="1">
      <c r="A38" s="6" t="s">
        <v>51</v>
      </c>
      <c r="J38" s="58">
        <f t="shared" ref="J38" si="22">SUM(J40:J51)</f>
        <v>4259276.9519999996</v>
      </c>
      <c r="M38" s="58">
        <f t="shared" ref="M38" si="23">SUM(M40:M51)</f>
        <v>5146102.148</v>
      </c>
      <c r="O38" s="58">
        <f t="shared" ref="O38" si="24">SUM(O40:O51)</f>
        <v>6158730.2960099997</v>
      </c>
      <c r="R38" s="58">
        <f t="shared" ref="R38:AK38" si="25">SUM(R40:R51)</f>
        <v>6805563.6930000009</v>
      </c>
      <c r="S38" s="58">
        <f t="shared" si="25"/>
        <v>7263429.273</v>
      </c>
      <c r="T38" s="67">
        <f t="shared" si="25"/>
        <v>7938081.949</v>
      </c>
      <c r="U38" s="58">
        <f t="shared" si="25"/>
        <v>7519737.8590000002</v>
      </c>
      <c r="V38" s="58">
        <f t="shared" si="25"/>
        <v>8443449.6069999989</v>
      </c>
      <c r="W38" s="58">
        <f t="shared" si="25"/>
        <v>11221627.377999999</v>
      </c>
      <c r="X38" s="58">
        <f t="shared" si="25"/>
        <v>10019453.449000001</v>
      </c>
      <c r="Y38" s="58">
        <f t="shared" si="25"/>
        <v>10838649.256000001</v>
      </c>
      <c r="Z38" s="58">
        <f t="shared" si="25"/>
        <v>11608865.622000001</v>
      </c>
      <c r="AA38" s="58">
        <f t="shared" si="25"/>
        <v>14905735.241999999</v>
      </c>
      <c r="AB38" s="58">
        <f t="shared" si="25"/>
        <v>16136888.001</v>
      </c>
      <c r="AC38" s="58">
        <f t="shared" si="25"/>
        <v>17428287</v>
      </c>
      <c r="AD38" s="58">
        <f t="shared" si="25"/>
        <v>18541087.578000002</v>
      </c>
      <c r="AE38" s="58">
        <f t="shared" si="25"/>
        <v>24999494.657000002</v>
      </c>
      <c r="AF38" s="58">
        <f t="shared" si="25"/>
        <v>19785596.646999996</v>
      </c>
      <c r="AG38" s="58">
        <f t="shared" si="25"/>
        <v>20536329.678000003</v>
      </c>
      <c r="AH38" s="58">
        <f t="shared" si="25"/>
        <v>21282512.024999999</v>
      </c>
      <c r="AI38" s="58">
        <f t="shared" si="25"/>
        <v>21852339.342</v>
      </c>
      <c r="AJ38" s="58">
        <f t="shared" si="25"/>
        <v>0</v>
      </c>
      <c r="AK38" s="58">
        <f t="shared" si="25"/>
        <v>25490109.475000001</v>
      </c>
    </row>
    <row r="39" spans="1:37" ht="12.75" customHeight="1">
      <c r="A39" s="6" t="s">
        <v>94</v>
      </c>
      <c r="T39" s="51"/>
    </row>
    <row r="40" spans="1:37" ht="12.75" customHeight="1">
      <c r="A40" s="1" t="s">
        <v>52</v>
      </c>
      <c r="J40" s="157">
        <v>434119.10100000002</v>
      </c>
      <c r="M40" s="1">
        <v>538706.95700000005</v>
      </c>
      <c r="O40" s="1">
        <v>657063.09699999995</v>
      </c>
      <c r="R40" s="20">
        <v>698193.23</v>
      </c>
      <c r="S40" s="1">
        <v>740552.03099999996</v>
      </c>
      <c r="T40" s="51">
        <v>815921.94400000002</v>
      </c>
      <c r="U40" s="1">
        <v>781587.32299999997</v>
      </c>
      <c r="V40" s="1">
        <v>892776.65500000003</v>
      </c>
      <c r="W40" s="157">
        <v>1190150.96</v>
      </c>
      <c r="X40" s="157">
        <v>1093293.243</v>
      </c>
      <c r="Y40" s="157">
        <v>1211740.395</v>
      </c>
      <c r="Z40" s="157">
        <v>1330892.527</v>
      </c>
      <c r="AA40" s="157">
        <v>1766344.8389999999</v>
      </c>
      <c r="AB40" s="157">
        <v>1977442.023</v>
      </c>
      <c r="AC40" s="157">
        <v>2142120</v>
      </c>
      <c r="AD40" s="1">
        <v>2277723.9330000002</v>
      </c>
      <c r="AE40" s="1">
        <v>2359430.6529999999</v>
      </c>
      <c r="AF40" s="1">
        <v>2336847.1469999999</v>
      </c>
      <c r="AG40" s="1">
        <v>2498560.324</v>
      </c>
      <c r="AH40" s="1">
        <v>2580756.2080000001</v>
      </c>
      <c r="AI40" s="1">
        <v>2610922.23</v>
      </c>
      <c r="AK40" s="1">
        <v>2881656.952</v>
      </c>
    </row>
    <row r="41" spans="1:37" ht="12.75" customHeight="1">
      <c r="A41" s="1" t="s">
        <v>53</v>
      </c>
      <c r="J41" s="157">
        <v>504928.804</v>
      </c>
      <c r="M41" s="1">
        <v>619850.50100000005</v>
      </c>
      <c r="O41" s="1">
        <v>745358.17099999997</v>
      </c>
      <c r="R41" s="20">
        <v>851756.96299999999</v>
      </c>
      <c r="S41" s="1">
        <v>906154.53599999996</v>
      </c>
      <c r="T41" s="51">
        <v>999947.42</v>
      </c>
      <c r="U41" s="1">
        <v>983299.848</v>
      </c>
      <c r="V41" s="1">
        <v>1105373.0330000001</v>
      </c>
      <c r="W41" s="157">
        <v>1397167.0730000001</v>
      </c>
      <c r="X41" s="157">
        <v>1287251.75</v>
      </c>
      <c r="Y41" s="157">
        <v>1386759.2180000001</v>
      </c>
      <c r="Z41" s="157">
        <v>1500693.8</v>
      </c>
      <c r="AA41" s="157">
        <v>1950804.2039999999</v>
      </c>
      <c r="AB41" s="157">
        <v>2140983.0150000001</v>
      </c>
      <c r="AC41" s="157">
        <v>2291274</v>
      </c>
      <c r="AD41" s="1">
        <v>2424174.7779999999</v>
      </c>
      <c r="AE41" s="1">
        <v>2468876.77</v>
      </c>
      <c r="AF41" s="1">
        <v>2534216.5619999999</v>
      </c>
      <c r="AG41" s="1">
        <v>2624735.3429999999</v>
      </c>
      <c r="AH41" s="1">
        <v>2740247.6579999998</v>
      </c>
      <c r="AI41" s="1">
        <v>2822172.92</v>
      </c>
      <c r="AK41" s="1">
        <v>3634173.9019999998</v>
      </c>
    </row>
    <row r="42" spans="1:37" ht="12.75" customHeight="1">
      <c r="A42" s="1" t="s">
        <v>54</v>
      </c>
      <c r="J42" s="157">
        <v>179917.217</v>
      </c>
      <c r="M42" s="1">
        <v>216299.80900000001</v>
      </c>
      <c r="O42" s="1">
        <v>253232.766</v>
      </c>
      <c r="R42" s="20">
        <v>279847.62099999998</v>
      </c>
      <c r="S42" s="1">
        <v>301341.076</v>
      </c>
      <c r="T42" s="51">
        <v>357819.55200000003</v>
      </c>
      <c r="U42" s="1">
        <v>328689.18300000002</v>
      </c>
      <c r="V42" s="1">
        <v>373802.48599999998</v>
      </c>
      <c r="W42" s="157">
        <v>502651.038</v>
      </c>
      <c r="X42" s="157">
        <v>411788.02100000001</v>
      </c>
      <c r="Y42" s="157">
        <v>438965.39299999998</v>
      </c>
      <c r="Z42" s="157">
        <v>470297.984</v>
      </c>
      <c r="AA42" s="157">
        <v>642062.429</v>
      </c>
      <c r="AB42" s="157">
        <v>702707.64399999997</v>
      </c>
      <c r="AC42" s="157">
        <v>775593</v>
      </c>
      <c r="AD42" s="1">
        <v>852182.59600000002</v>
      </c>
      <c r="AE42" s="1">
        <v>920992.17</v>
      </c>
      <c r="AF42" s="1">
        <v>968460.99</v>
      </c>
      <c r="AG42" s="1">
        <v>1000558.55</v>
      </c>
      <c r="AH42" s="1">
        <v>1032599.231</v>
      </c>
      <c r="AI42" s="1">
        <v>1097747.8370000001</v>
      </c>
      <c r="AK42" s="1">
        <v>1255853.0719999999</v>
      </c>
    </row>
    <row r="43" spans="1:37" ht="12.75" customHeight="1">
      <c r="A43" s="1" t="s">
        <v>55</v>
      </c>
      <c r="J43" s="157">
        <v>177288.717</v>
      </c>
      <c r="M43" s="1">
        <v>218239.82199999999</v>
      </c>
      <c r="O43" s="1">
        <v>263530.86297999998</v>
      </c>
      <c r="R43" s="20">
        <v>261800.97700000001</v>
      </c>
      <c r="S43" s="1">
        <v>281231.67300000001</v>
      </c>
      <c r="T43" s="51">
        <v>292252.61700000003</v>
      </c>
      <c r="U43" s="1">
        <v>304765.46899999998</v>
      </c>
      <c r="V43" s="1">
        <v>330591.48599999998</v>
      </c>
      <c r="W43" s="157">
        <v>431596.89899999998</v>
      </c>
      <c r="X43" s="157">
        <v>431869.489</v>
      </c>
      <c r="Y43" s="157">
        <v>476095.815</v>
      </c>
      <c r="Z43" s="157">
        <v>510664.58399999997</v>
      </c>
      <c r="AA43" s="157">
        <v>617495.03300000005</v>
      </c>
      <c r="AB43" s="157">
        <v>662102.35600000003</v>
      </c>
      <c r="AC43" s="157">
        <v>700153</v>
      </c>
      <c r="AD43" s="1">
        <v>738831.27399999998</v>
      </c>
      <c r="AE43" s="1">
        <v>782664.49</v>
      </c>
      <c r="AF43" s="1">
        <v>821031.35</v>
      </c>
      <c r="AG43" s="1">
        <v>884130.978</v>
      </c>
      <c r="AH43" s="1">
        <v>905721.745</v>
      </c>
      <c r="AI43" s="1">
        <v>945155.75600000005</v>
      </c>
      <c r="AK43" s="1">
        <v>1079544.74</v>
      </c>
    </row>
    <row r="44" spans="1:37" ht="12.75" customHeight="1">
      <c r="A44" s="1" t="s">
        <v>56</v>
      </c>
      <c r="J44" s="157">
        <v>877213.64099999995</v>
      </c>
      <c r="M44" s="1">
        <v>1090098.5060000001</v>
      </c>
      <c r="O44" s="1">
        <v>1271449.28</v>
      </c>
      <c r="R44" s="20">
        <v>1437454.1910000001</v>
      </c>
      <c r="S44" s="1">
        <v>1530977.909</v>
      </c>
      <c r="T44" s="51">
        <v>1751122.55</v>
      </c>
      <c r="U44" s="1">
        <v>1630455.429</v>
      </c>
      <c r="V44" s="1">
        <v>1784342.0179999999</v>
      </c>
      <c r="W44" s="157">
        <v>2237344.2519999999</v>
      </c>
      <c r="X44" s="157">
        <v>2096040.7479999999</v>
      </c>
      <c r="Y44" s="157">
        <v>2238151.0980000002</v>
      </c>
      <c r="Z44" s="157">
        <v>2472763.3539999998</v>
      </c>
      <c r="AA44" s="157">
        <v>3184200.517</v>
      </c>
      <c r="AB44" s="157">
        <v>3434958.9759999998</v>
      </c>
      <c r="AC44" s="157">
        <v>3655439</v>
      </c>
      <c r="AD44" s="1">
        <v>3931934.42</v>
      </c>
      <c r="AE44" s="1">
        <v>4118170.662</v>
      </c>
      <c r="AF44" s="1">
        <v>4299990.8439999996</v>
      </c>
      <c r="AG44" s="1">
        <v>4481655.84</v>
      </c>
      <c r="AH44" s="1">
        <v>4652083.4519999996</v>
      </c>
      <c r="AI44" s="1">
        <v>4860083.415</v>
      </c>
      <c r="AK44" s="1">
        <v>5654386.477</v>
      </c>
    </row>
    <row r="45" spans="1:37" ht="12.75" customHeight="1">
      <c r="A45" s="1" t="s">
        <v>57</v>
      </c>
      <c r="J45" s="157">
        <v>262819.89299999998</v>
      </c>
      <c r="M45" s="1">
        <v>309290.06599999999</v>
      </c>
      <c r="O45" s="1">
        <v>387044.68</v>
      </c>
      <c r="R45" s="20">
        <v>427683.13400000002</v>
      </c>
      <c r="S45" s="1">
        <v>465819.95400000003</v>
      </c>
      <c r="T45" s="51">
        <v>544421.31099999999</v>
      </c>
      <c r="U45" s="1">
        <v>543160.70200000005</v>
      </c>
      <c r="V45" s="1">
        <v>626792.28899999999</v>
      </c>
      <c r="W45" s="157">
        <v>848876.58299999998</v>
      </c>
      <c r="X45" s="157">
        <v>740694.9</v>
      </c>
      <c r="Y45" s="157">
        <v>772335.38500000001</v>
      </c>
      <c r="Z45" s="157">
        <v>815339.76899999997</v>
      </c>
      <c r="AA45" s="157">
        <v>1080022.3840000001</v>
      </c>
      <c r="AB45" s="157">
        <v>1148241.6680000001</v>
      </c>
      <c r="AC45" s="157">
        <v>1259266</v>
      </c>
      <c r="AD45" s="1">
        <v>1327859.456</v>
      </c>
      <c r="AE45" s="1">
        <v>1365416.172</v>
      </c>
      <c r="AF45" s="1">
        <v>1383749.0079999999</v>
      </c>
      <c r="AG45" s="1">
        <v>1393008.852</v>
      </c>
      <c r="AH45" s="1">
        <v>1425076.4480000001</v>
      </c>
      <c r="AI45" s="1">
        <v>1464728.2560000001</v>
      </c>
      <c r="AK45" s="1">
        <v>1634063.0379999999</v>
      </c>
    </row>
    <row r="46" spans="1:37" ht="12.75" customHeight="1">
      <c r="A46" s="1" t="s">
        <v>58</v>
      </c>
      <c r="J46" s="157">
        <v>290868.68400000001</v>
      </c>
      <c r="M46" s="1">
        <v>375748.57500000001</v>
      </c>
      <c r="O46" s="1">
        <v>472510.48200000002</v>
      </c>
      <c r="R46" s="20">
        <v>501417</v>
      </c>
      <c r="S46" s="1">
        <v>529653.929</v>
      </c>
      <c r="T46" s="51">
        <v>543311.09900000005</v>
      </c>
      <c r="U46" s="1">
        <v>468075.95400000003</v>
      </c>
      <c r="V46" s="1">
        <v>528816.99800000002</v>
      </c>
      <c r="W46" s="157">
        <v>781755.25199999998</v>
      </c>
      <c r="X46" s="157">
        <v>617144.79799999995</v>
      </c>
      <c r="Y46" s="157">
        <v>664019.71200000006</v>
      </c>
      <c r="Z46" s="157">
        <v>693279.81200000003</v>
      </c>
      <c r="AA46" s="157">
        <v>1003091.469</v>
      </c>
      <c r="AB46" s="157">
        <v>1048815.2409999999</v>
      </c>
      <c r="AC46" s="157">
        <v>1113599</v>
      </c>
      <c r="AD46" s="1">
        <v>1203984.4080000001</v>
      </c>
      <c r="AE46" s="1">
        <v>1268731.2169999999</v>
      </c>
      <c r="AF46" s="1">
        <v>1328110.838</v>
      </c>
      <c r="AG46" s="1">
        <v>1390926.8130000001</v>
      </c>
      <c r="AH46" s="1">
        <v>1440319.128</v>
      </c>
      <c r="AI46" s="1">
        <v>1406086.689</v>
      </c>
      <c r="AK46" s="1">
        <v>1595282.94</v>
      </c>
    </row>
    <row r="47" spans="1:37" ht="12.75" customHeight="1">
      <c r="A47" s="1" t="s">
        <v>59</v>
      </c>
      <c r="J47" s="157">
        <v>101355.152</v>
      </c>
      <c r="M47" s="1">
        <v>119441.60400000001</v>
      </c>
      <c r="O47" s="1">
        <v>152115.66899999999</v>
      </c>
      <c r="R47" s="27">
        <v>156410.19899999999</v>
      </c>
      <c r="S47" s="1">
        <v>168261.818</v>
      </c>
      <c r="T47" s="51">
        <v>189994.17199999999</v>
      </c>
      <c r="U47" s="1">
        <v>160821.91399999999</v>
      </c>
      <c r="V47" s="1">
        <v>182111.53899999999</v>
      </c>
      <c r="W47" s="157">
        <v>262364.08899999998</v>
      </c>
      <c r="X47" s="157">
        <v>210395.003</v>
      </c>
      <c r="Y47" s="157">
        <v>225909.08199999999</v>
      </c>
      <c r="Z47" s="157">
        <v>242474.41099999999</v>
      </c>
      <c r="AA47" s="157">
        <v>307686.07699999999</v>
      </c>
      <c r="AB47" s="157">
        <v>372455.35499999998</v>
      </c>
      <c r="AC47" s="157">
        <v>408407</v>
      </c>
      <c r="AD47" s="1">
        <v>443850.18099999998</v>
      </c>
      <c r="AE47" s="1">
        <v>466907.30099999998</v>
      </c>
      <c r="AF47" s="1">
        <v>486686.05</v>
      </c>
      <c r="AG47" s="1">
        <v>508739.03600000002</v>
      </c>
      <c r="AH47" s="1">
        <v>531251.59699999995</v>
      </c>
      <c r="AI47" s="1">
        <v>558717.22900000005</v>
      </c>
      <c r="AK47" s="1">
        <v>712697.799</v>
      </c>
    </row>
    <row r="48" spans="1:37" ht="12.75" customHeight="1">
      <c r="A48" s="1" t="s">
        <v>60</v>
      </c>
      <c r="J48" s="157">
        <v>64475.779000000002</v>
      </c>
      <c r="M48" s="1">
        <v>75980.226999999999</v>
      </c>
      <c r="O48" s="1">
        <v>90017.293000000005</v>
      </c>
      <c r="R48" s="20">
        <v>89813.273000000001</v>
      </c>
      <c r="S48" s="1">
        <v>97486.035000000003</v>
      </c>
      <c r="T48" s="51">
        <v>109352.685</v>
      </c>
      <c r="U48" s="1">
        <v>99377.387000000002</v>
      </c>
      <c r="V48" s="1">
        <v>133615.00200000001</v>
      </c>
      <c r="W48" s="157">
        <v>193342.56400000001</v>
      </c>
      <c r="X48" s="157">
        <v>178174.75200000001</v>
      </c>
      <c r="Y48" s="157">
        <v>195875.80900000001</v>
      </c>
      <c r="Z48" s="157">
        <v>209124.91899999999</v>
      </c>
      <c r="AA48" s="157">
        <v>248240.11600000001</v>
      </c>
      <c r="AB48" s="157">
        <v>266382.255</v>
      </c>
      <c r="AC48" s="157">
        <v>281828</v>
      </c>
      <c r="AD48" s="1">
        <v>296449.696</v>
      </c>
      <c r="AE48" s="1">
        <v>306926.598</v>
      </c>
      <c r="AF48" s="1">
        <v>318802.261</v>
      </c>
      <c r="AG48" s="1">
        <v>326008.23300000001</v>
      </c>
      <c r="AH48" s="1">
        <v>339834.83299999998</v>
      </c>
      <c r="AI48" s="1">
        <v>343614.99699999997</v>
      </c>
      <c r="AK48" s="1">
        <v>376982.41800000001</v>
      </c>
    </row>
    <row r="49" spans="1:37" ht="12.75" customHeight="1">
      <c r="A49" s="1" t="s">
        <v>61</v>
      </c>
      <c r="J49" s="157">
        <v>940030.68400000001</v>
      </c>
      <c r="M49" s="1">
        <v>1088214.716</v>
      </c>
      <c r="O49" s="1">
        <v>1272513.9210000001</v>
      </c>
      <c r="R49" s="20">
        <v>1379111.558</v>
      </c>
      <c r="S49" s="1">
        <v>1469152.4269999999</v>
      </c>
      <c r="T49" s="51">
        <v>1685747.993</v>
      </c>
      <c r="U49" s="1">
        <v>1570550.754</v>
      </c>
      <c r="V49" s="1">
        <v>1762947.0719999999</v>
      </c>
      <c r="W49" s="157">
        <v>2498520.4169999999</v>
      </c>
      <c r="X49" s="157">
        <v>2097750.6179999998</v>
      </c>
      <c r="Y49" s="157">
        <v>2289245.8110000002</v>
      </c>
      <c r="Z49" s="157">
        <v>2364147.0669999998</v>
      </c>
      <c r="AA49" s="157">
        <v>2923688.25</v>
      </c>
      <c r="AB49" s="157">
        <v>3119881.7250000001</v>
      </c>
      <c r="AC49" s="157">
        <v>3414210</v>
      </c>
      <c r="AD49" s="1">
        <v>3582982.2170000002</v>
      </c>
      <c r="AE49" s="1">
        <v>3647126.2080000001</v>
      </c>
      <c r="AF49" s="1">
        <v>3722258.3769999999</v>
      </c>
      <c r="AG49" s="1">
        <v>3842306.804</v>
      </c>
      <c r="AH49" s="1">
        <v>3982316.406</v>
      </c>
      <c r="AI49" s="1">
        <v>4051715.99</v>
      </c>
      <c r="AK49" s="1">
        <v>4546364.7949999999</v>
      </c>
    </row>
    <row r="50" spans="1:37" ht="12.75" customHeight="1">
      <c r="A50" s="1" t="s">
        <v>62</v>
      </c>
      <c r="J50" s="157">
        <v>50467.205000000002</v>
      </c>
      <c r="M50" s="1">
        <v>61174.74</v>
      </c>
      <c r="O50" s="1">
        <v>75396.070030000003</v>
      </c>
      <c r="R50" s="20">
        <v>75914.315000000002</v>
      </c>
      <c r="S50" s="1">
        <v>81676.381999999998</v>
      </c>
      <c r="T50" s="51">
        <v>89931.663</v>
      </c>
      <c r="U50" s="1">
        <v>89124.576000000001</v>
      </c>
      <c r="V50" s="1">
        <v>94908.702999999994</v>
      </c>
      <c r="W50" s="157">
        <v>118687.086</v>
      </c>
      <c r="X50" s="157">
        <v>113267.603</v>
      </c>
      <c r="Y50" s="157">
        <v>121667.823</v>
      </c>
      <c r="Z50" s="157">
        <v>133631.85500000001</v>
      </c>
      <c r="AA50" s="157">
        <v>168102.18799999999</v>
      </c>
      <c r="AB50" s="157">
        <v>178512.46799999999</v>
      </c>
      <c r="AC50" s="157">
        <v>202091</v>
      </c>
      <c r="AD50" s="1">
        <v>221184.89199999999</v>
      </c>
      <c r="AE50" s="1">
        <v>3647126.2080000001</v>
      </c>
      <c r="AF50" s="1">
        <v>240206.27600000001</v>
      </c>
      <c r="AG50" s="1">
        <v>249983.47500000001</v>
      </c>
      <c r="AH50" s="1">
        <v>262115.715</v>
      </c>
      <c r="AI50" s="1">
        <v>266254.75199999998</v>
      </c>
      <c r="AK50" s="1">
        <v>304263.74300000002</v>
      </c>
    </row>
    <row r="51" spans="1:37" ht="12.75" customHeight="1">
      <c r="A51" s="30" t="s">
        <v>63</v>
      </c>
      <c r="B51" s="30"/>
      <c r="C51" s="30"/>
      <c r="D51" s="30"/>
      <c r="E51" s="30"/>
      <c r="F51" s="30"/>
      <c r="G51" s="30"/>
      <c r="H51" s="30"/>
      <c r="I51" s="30"/>
      <c r="J51" s="158">
        <v>375792.07500000001</v>
      </c>
      <c r="K51" s="30"/>
      <c r="L51" s="30"/>
      <c r="M51" s="30">
        <v>433056.625</v>
      </c>
      <c r="N51" s="30"/>
      <c r="O51" s="30">
        <v>518498.00400000002</v>
      </c>
      <c r="P51" s="30"/>
      <c r="Q51" s="30"/>
      <c r="R51" s="40">
        <v>646161.23199999996</v>
      </c>
      <c r="S51" s="30">
        <v>691121.50300000003</v>
      </c>
      <c r="T51" s="68">
        <v>558258.94299999997</v>
      </c>
      <c r="U51" s="30">
        <v>559829.31999999995</v>
      </c>
      <c r="V51" s="30">
        <v>627372.326</v>
      </c>
      <c r="W51" s="158">
        <v>759171.16500000004</v>
      </c>
      <c r="X51" s="158">
        <v>741782.52399999998</v>
      </c>
      <c r="Y51" s="158">
        <v>817883.71499999997</v>
      </c>
      <c r="Z51" s="158">
        <v>865555.54</v>
      </c>
      <c r="AA51" s="158">
        <v>1013997.736</v>
      </c>
      <c r="AB51" s="158">
        <v>1084405.2749999999</v>
      </c>
      <c r="AC51" s="158">
        <v>1184307</v>
      </c>
      <c r="AD51" s="30">
        <v>1239929.727</v>
      </c>
      <c r="AE51" s="30">
        <v>3647126.2080000001</v>
      </c>
      <c r="AF51" s="30">
        <v>1345236.9439999999</v>
      </c>
      <c r="AG51" s="30">
        <v>1335715.43</v>
      </c>
      <c r="AH51" s="30">
        <v>1390189.6040000001</v>
      </c>
      <c r="AI51" s="30">
        <v>1425139.2709999999</v>
      </c>
      <c r="AJ51" s="30"/>
      <c r="AK51" s="30">
        <v>1814839.5989999999</v>
      </c>
    </row>
    <row r="52" spans="1:37" ht="12.75" customHeight="1">
      <c r="A52" s="6" t="s">
        <v>64</v>
      </c>
      <c r="J52" s="58">
        <f t="shared" ref="J52" si="26">SUM(J54:J62)</f>
        <v>2813186.0449999999</v>
      </c>
      <c r="M52" s="58">
        <f t="shared" ref="M52" si="27">SUM(M54:M62)</f>
        <v>3340412.0729999999</v>
      </c>
      <c r="O52" s="58">
        <f t="shared" ref="O52" si="28">SUM(O54:O62)</f>
        <v>4450435.8130000001</v>
      </c>
      <c r="R52" s="58">
        <f t="shared" ref="R52:AK52" si="29">SUM(R54:R62)</f>
        <v>4335567.7940000007</v>
      </c>
      <c r="S52" s="58">
        <f t="shared" si="29"/>
        <v>4316985.1400000006</v>
      </c>
      <c r="T52" s="67">
        <f t="shared" si="29"/>
        <v>4008703.801</v>
      </c>
      <c r="U52" s="58">
        <f t="shared" si="29"/>
        <v>3022656.2430000002</v>
      </c>
      <c r="V52" s="58">
        <f t="shared" si="29"/>
        <v>3564402.1519999998</v>
      </c>
      <c r="W52" s="58">
        <f t="shared" si="29"/>
        <v>5391939.0369999995</v>
      </c>
      <c r="X52" s="58">
        <f t="shared" si="29"/>
        <v>4471040.2450000001</v>
      </c>
      <c r="Y52" s="58">
        <f t="shared" si="29"/>
        <v>4762237.0539999995</v>
      </c>
      <c r="Z52" s="58">
        <f t="shared" si="29"/>
        <v>5073099.1069999989</v>
      </c>
      <c r="AA52" s="58">
        <f t="shared" si="29"/>
        <v>6866560.3800000008</v>
      </c>
      <c r="AB52" s="58">
        <f t="shared" si="29"/>
        <v>7899848.7089999998</v>
      </c>
      <c r="AC52" s="58">
        <f t="shared" si="29"/>
        <v>8386972</v>
      </c>
      <c r="AD52" s="58">
        <f t="shared" si="29"/>
        <v>8943398.9719999991</v>
      </c>
      <c r="AE52" s="58">
        <f t="shared" si="29"/>
        <v>9044396.6219999995</v>
      </c>
      <c r="AF52" s="58">
        <f t="shared" si="29"/>
        <v>9571535.4850000013</v>
      </c>
      <c r="AG52" s="58">
        <f t="shared" si="29"/>
        <v>9997543.853000002</v>
      </c>
      <c r="AH52" s="58">
        <f t="shared" si="29"/>
        <v>10720224.919</v>
      </c>
      <c r="AI52" s="58">
        <f t="shared" si="29"/>
        <v>11076314.9</v>
      </c>
      <c r="AJ52" s="58">
        <f t="shared" si="29"/>
        <v>0</v>
      </c>
      <c r="AK52" s="58">
        <f t="shared" si="29"/>
        <v>13211217.450999999</v>
      </c>
    </row>
    <row r="53" spans="1:37" ht="12.75" customHeight="1">
      <c r="A53" s="6" t="s">
        <v>94</v>
      </c>
      <c r="T53" s="51"/>
    </row>
    <row r="54" spans="1:37" ht="12.75" customHeight="1">
      <c r="A54" s="1" t="s">
        <v>65</v>
      </c>
      <c r="J54" s="157">
        <v>141480.91500000001</v>
      </c>
      <c r="M54" s="1">
        <v>194052.052</v>
      </c>
      <c r="O54" s="1">
        <v>216148.15700000001</v>
      </c>
      <c r="R54" s="20">
        <v>238845.04300000001</v>
      </c>
      <c r="S54" s="1">
        <v>254765.253</v>
      </c>
      <c r="T54" s="51">
        <v>269046.79200000002</v>
      </c>
      <c r="U54" s="1">
        <v>256868.29699999999</v>
      </c>
      <c r="V54" s="1">
        <v>290968.99900000001</v>
      </c>
      <c r="W54" s="157">
        <v>399998.02</v>
      </c>
      <c r="X54" s="157">
        <v>345203.12800000003</v>
      </c>
      <c r="Y54" s="157">
        <v>370600.20600000001</v>
      </c>
      <c r="Z54" s="157">
        <v>393405.57199999999</v>
      </c>
      <c r="AA54" s="157">
        <v>574899.61600000004</v>
      </c>
      <c r="AB54" s="157">
        <v>624645.18700000003</v>
      </c>
      <c r="AC54" s="157">
        <v>666884</v>
      </c>
      <c r="AD54" s="1">
        <v>687166.33900000004</v>
      </c>
      <c r="AE54" s="1">
        <v>698563.05099999998</v>
      </c>
      <c r="AF54" s="1">
        <v>734236.74399999995</v>
      </c>
      <c r="AG54" s="1">
        <v>776743.53799999994</v>
      </c>
      <c r="AH54" s="1">
        <v>839456.41</v>
      </c>
      <c r="AI54" s="1">
        <v>893905.20799999998</v>
      </c>
      <c r="AK54" s="1">
        <v>1106567.406</v>
      </c>
    </row>
    <row r="55" spans="1:37" ht="12.75" customHeight="1">
      <c r="A55" s="1" t="s">
        <v>66</v>
      </c>
      <c r="J55" s="157">
        <v>76025.346000000005</v>
      </c>
      <c r="M55" s="1">
        <v>83600.941000000006</v>
      </c>
      <c r="O55" s="1">
        <v>105753.577</v>
      </c>
      <c r="R55" s="20">
        <v>108526.55100000001</v>
      </c>
      <c r="S55" s="1">
        <v>113415.66800000001</v>
      </c>
      <c r="T55" s="51">
        <v>138436.636</v>
      </c>
      <c r="U55" s="1">
        <v>112616.899</v>
      </c>
      <c r="V55" s="1">
        <v>121063.7</v>
      </c>
      <c r="W55" s="157">
        <v>177596.70600000001</v>
      </c>
      <c r="X55" s="157">
        <v>140959.65299999999</v>
      </c>
      <c r="Y55" s="157">
        <v>157869.20000000001</v>
      </c>
      <c r="Z55" s="157">
        <v>171306.717</v>
      </c>
      <c r="AA55" s="157">
        <v>250188.52900000001</v>
      </c>
      <c r="AB55" s="157">
        <v>264728.83399999997</v>
      </c>
      <c r="AC55" s="157">
        <v>275193</v>
      </c>
      <c r="AD55" s="1">
        <v>281575.34299999999</v>
      </c>
      <c r="AE55" s="1">
        <v>280026.53600000002</v>
      </c>
      <c r="AF55" s="1">
        <v>280309.91100000002</v>
      </c>
      <c r="AG55" s="1">
        <v>282851.47899999999</v>
      </c>
      <c r="AH55" s="1">
        <v>292284.71299999999</v>
      </c>
      <c r="AI55" s="1">
        <v>302645.88099999999</v>
      </c>
      <c r="AK55" s="1">
        <v>377864.25</v>
      </c>
    </row>
    <row r="56" spans="1:37" ht="12.75" customHeight="1">
      <c r="A56" s="1" t="s">
        <v>67</v>
      </c>
      <c r="J56" s="157">
        <v>329115.277</v>
      </c>
      <c r="M56" s="1">
        <v>367613.59399999998</v>
      </c>
      <c r="O56" s="1">
        <v>410342.93199999997</v>
      </c>
      <c r="R56" s="20">
        <v>395216.02299999999</v>
      </c>
      <c r="S56" s="1">
        <v>400291.60200000001</v>
      </c>
      <c r="T56" s="51">
        <v>449391.28700000001</v>
      </c>
      <c r="U56" s="1">
        <v>416128.31099999999</v>
      </c>
      <c r="V56" s="1">
        <v>515166.75699999998</v>
      </c>
      <c r="W56" s="157">
        <v>661104.22199999995</v>
      </c>
      <c r="X56" s="157">
        <v>602807.80700000003</v>
      </c>
      <c r="Y56" s="157">
        <v>645987.15399999998</v>
      </c>
      <c r="Z56" s="157">
        <v>680367.63</v>
      </c>
      <c r="AA56" s="157">
        <v>844605.27800000005</v>
      </c>
      <c r="AB56" s="157">
        <v>1014907.083</v>
      </c>
      <c r="AC56" s="157">
        <v>1091101</v>
      </c>
      <c r="AD56" s="1">
        <v>1188624.075</v>
      </c>
      <c r="AE56" s="1">
        <v>1277218.3659999999</v>
      </c>
      <c r="AF56" s="1">
        <v>1329673.6640000001</v>
      </c>
      <c r="AG56" s="1">
        <v>1380482.3959999999</v>
      </c>
      <c r="AH56" s="1">
        <v>1493834.885</v>
      </c>
      <c r="AI56" s="1">
        <v>1582253.3370000001</v>
      </c>
      <c r="AK56" s="1">
        <v>1806374.294</v>
      </c>
    </row>
    <row r="57" spans="1:37" ht="12.75" customHeight="1">
      <c r="A57" s="1" t="s">
        <v>68</v>
      </c>
      <c r="J57" s="157">
        <v>112098.671</v>
      </c>
      <c r="M57" s="1">
        <v>138969.52900000001</v>
      </c>
      <c r="O57" s="1">
        <v>155981.66800000001</v>
      </c>
      <c r="R57" s="27">
        <v>171923.76699999999</v>
      </c>
      <c r="S57" s="1">
        <v>181995.383</v>
      </c>
      <c r="T57" s="51">
        <v>193490.26699999999</v>
      </c>
      <c r="U57" s="1">
        <v>158830.83600000001</v>
      </c>
      <c r="V57" s="1">
        <v>170150.073</v>
      </c>
      <c r="W57" s="157">
        <v>246329.655</v>
      </c>
      <c r="X57" s="157">
        <v>200522.049</v>
      </c>
      <c r="Y57" s="157">
        <v>216814.83900000001</v>
      </c>
      <c r="Z57" s="157">
        <v>234727.38699999999</v>
      </c>
      <c r="AA57" s="157">
        <v>340064.41499999998</v>
      </c>
      <c r="AB57" s="157">
        <v>367060.21500000003</v>
      </c>
      <c r="AC57" s="157">
        <v>392920</v>
      </c>
      <c r="AD57" s="1">
        <v>429655.88</v>
      </c>
      <c r="AE57" s="1">
        <v>453416.68300000002</v>
      </c>
      <c r="AF57" s="1">
        <v>454567.50799999997</v>
      </c>
      <c r="AG57" s="1">
        <v>464758.66700000002</v>
      </c>
      <c r="AH57" s="1">
        <v>493341.99699999997</v>
      </c>
      <c r="AI57" s="1">
        <v>503323.62199999997</v>
      </c>
      <c r="AK57" s="1">
        <v>524508.49800000002</v>
      </c>
    </row>
    <row r="58" spans="1:37" ht="12.75" customHeight="1">
      <c r="A58" s="1" t="s">
        <v>69</v>
      </c>
      <c r="J58" s="157">
        <v>191021.641</v>
      </c>
      <c r="M58" s="1">
        <v>235676.69200000001</v>
      </c>
      <c r="O58" s="1">
        <v>558951.25800000003</v>
      </c>
      <c r="R58" s="27">
        <v>376933.00099999999</v>
      </c>
      <c r="S58" s="1">
        <v>413129.95500000002</v>
      </c>
      <c r="T58" s="51">
        <v>465100.52</v>
      </c>
      <c r="U58" s="1">
        <v>396333.52799999999</v>
      </c>
      <c r="V58" s="1">
        <v>486158.223</v>
      </c>
      <c r="W58" s="157">
        <v>1120008.7279999999</v>
      </c>
      <c r="X58" s="157">
        <v>974414.58200000005</v>
      </c>
      <c r="Y58" s="157">
        <v>1075353.118</v>
      </c>
      <c r="Z58" s="157">
        <v>1188893.379</v>
      </c>
      <c r="AA58" s="157">
        <v>1522996.655</v>
      </c>
      <c r="AB58" s="157">
        <v>1756113.0649999999</v>
      </c>
      <c r="AC58" s="157">
        <v>1920412</v>
      </c>
      <c r="AD58" s="1">
        <v>2049257.5319999999</v>
      </c>
      <c r="AE58" s="1">
        <v>1988753.5020000001</v>
      </c>
      <c r="AF58" s="1">
        <v>2220251.5690000001</v>
      </c>
      <c r="AG58" s="1">
        <v>2335073.25</v>
      </c>
      <c r="AH58" s="1">
        <v>2462488.5210000002</v>
      </c>
      <c r="AI58" s="1">
        <v>2562558.3110000002</v>
      </c>
      <c r="AK58" s="1">
        <v>3011710.2409999999</v>
      </c>
    </row>
    <row r="59" spans="1:37" ht="12.75" customHeight="1">
      <c r="A59" s="1" t="s">
        <v>70</v>
      </c>
      <c r="J59" s="157">
        <v>723281.64399999997</v>
      </c>
      <c r="M59" s="1">
        <v>903310.32200000004</v>
      </c>
      <c r="O59" s="1">
        <v>1337938.7409999999</v>
      </c>
      <c r="R59" s="27">
        <v>1221713.827</v>
      </c>
      <c r="S59" s="1">
        <v>1280796.629</v>
      </c>
      <c r="T59" s="51">
        <v>1346431.057</v>
      </c>
      <c r="U59" s="1">
        <v>940189.47199999995</v>
      </c>
      <c r="V59" s="1">
        <v>1164001.0649999999</v>
      </c>
      <c r="W59" s="157">
        <v>1721529.4269999999</v>
      </c>
      <c r="X59" s="157">
        <v>1274658.469</v>
      </c>
      <c r="Y59" s="157">
        <v>1322863.186</v>
      </c>
      <c r="Z59" s="157">
        <v>1366711.932</v>
      </c>
      <c r="AA59" s="157">
        <v>1955964.8060000001</v>
      </c>
      <c r="AB59" s="157">
        <v>2346770.784</v>
      </c>
      <c r="AC59" s="157">
        <v>2415437</v>
      </c>
      <c r="AD59" s="1">
        <v>2573341.5389999999</v>
      </c>
      <c r="AE59" s="1">
        <v>2593882.6839999999</v>
      </c>
      <c r="AF59" s="1">
        <v>2777281.676</v>
      </c>
      <c r="AG59" s="1">
        <v>2940428.2230000002</v>
      </c>
      <c r="AH59" s="1">
        <v>3246592.8309999998</v>
      </c>
      <c r="AI59" s="1">
        <v>3289236.003</v>
      </c>
      <c r="AK59" s="1">
        <v>4204671.87</v>
      </c>
    </row>
    <row r="60" spans="1:37" ht="12.75" customHeight="1">
      <c r="A60" s="1" t="s">
        <v>71</v>
      </c>
      <c r="J60" s="157">
        <v>1045222.568</v>
      </c>
      <c r="M60" s="1">
        <v>1187638.2180000001</v>
      </c>
      <c r="O60" s="1">
        <v>1411166.733</v>
      </c>
      <c r="R60" s="20">
        <v>1549634.615</v>
      </c>
      <c r="S60" s="1">
        <v>1388596.311</v>
      </c>
      <c r="T60" s="51">
        <v>841748.69299999997</v>
      </c>
      <c r="U60" s="1">
        <v>473779.73700000002</v>
      </c>
      <c r="V60" s="1">
        <v>513148.95500000002</v>
      </c>
      <c r="W60" s="157">
        <v>664137.853</v>
      </c>
      <c r="X60" s="157">
        <v>561200.522</v>
      </c>
      <c r="Y60" s="157">
        <v>566238.55900000001</v>
      </c>
      <c r="Z60" s="157">
        <v>594199.34</v>
      </c>
      <c r="AA60" s="157">
        <v>793016.89500000002</v>
      </c>
      <c r="AB60" s="157">
        <v>866597.47699999996</v>
      </c>
      <c r="AC60" s="157">
        <v>933107</v>
      </c>
      <c r="AD60" s="1">
        <v>1010226.661</v>
      </c>
      <c r="AE60" s="1">
        <v>1015318.529</v>
      </c>
      <c r="AF60" s="1">
        <v>1029067.768</v>
      </c>
      <c r="AG60" s="1">
        <v>1042123.147</v>
      </c>
      <c r="AH60" s="1">
        <v>1057635.486</v>
      </c>
      <c r="AI60" s="1">
        <v>1076928.368</v>
      </c>
      <c r="AK60" s="1">
        <v>1148059.916</v>
      </c>
    </row>
    <row r="61" spans="1:37" ht="12.75" customHeight="1">
      <c r="A61" s="1" t="s">
        <v>72</v>
      </c>
      <c r="J61" s="157">
        <v>80156.899000000005</v>
      </c>
      <c r="M61" s="1">
        <v>94843.055999999997</v>
      </c>
      <c r="O61" s="1">
        <v>101887.4</v>
      </c>
      <c r="R61" s="20">
        <v>107096.166</v>
      </c>
      <c r="S61" s="1">
        <v>114231.606</v>
      </c>
      <c r="T61" s="51">
        <v>120487.084</v>
      </c>
      <c r="U61" s="1">
        <v>108136.819</v>
      </c>
      <c r="V61" s="1">
        <v>125415.905</v>
      </c>
      <c r="W61" s="157">
        <v>169797.29</v>
      </c>
      <c r="X61" s="157">
        <v>153376.50399999999</v>
      </c>
      <c r="Y61" s="157">
        <v>168438.016</v>
      </c>
      <c r="Z61" s="157">
        <v>188415.079</v>
      </c>
      <c r="AA61" s="157">
        <v>256713.155</v>
      </c>
      <c r="AB61" s="157">
        <v>279631.08199999999</v>
      </c>
      <c r="AC61" s="157">
        <v>295606</v>
      </c>
      <c r="AD61" s="1">
        <v>309833.33100000001</v>
      </c>
      <c r="AE61" s="1">
        <v>330262.674</v>
      </c>
      <c r="AF61" s="1">
        <v>332008.15299999999</v>
      </c>
      <c r="AG61" s="1">
        <v>345055.10600000003</v>
      </c>
      <c r="AH61" s="1">
        <v>360921.30800000002</v>
      </c>
      <c r="AI61" s="1">
        <v>365057.32199999999</v>
      </c>
      <c r="AK61" s="1">
        <v>445498.16600000003</v>
      </c>
    </row>
    <row r="62" spans="1:37" ht="12.75" customHeight="1">
      <c r="A62" s="30" t="s">
        <v>73</v>
      </c>
      <c r="B62" s="30"/>
      <c r="C62" s="30"/>
      <c r="D62" s="30"/>
      <c r="E62" s="30"/>
      <c r="F62" s="30"/>
      <c r="G62" s="30"/>
      <c r="H62" s="30"/>
      <c r="I62" s="30"/>
      <c r="J62" s="158">
        <v>114783.084</v>
      </c>
      <c r="K62" s="30"/>
      <c r="L62" s="30"/>
      <c r="M62" s="30">
        <v>134707.66899999999</v>
      </c>
      <c r="N62" s="30"/>
      <c r="O62" s="30">
        <v>152265.34700000001</v>
      </c>
      <c r="P62" s="30"/>
      <c r="Q62" s="30"/>
      <c r="R62" s="40">
        <v>165678.80100000001</v>
      </c>
      <c r="S62" s="30">
        <v>169762.73300000001</v>
      </c>
      <c r="T62" s="68">
        <v>184571.465</v>
      </c>
      <c r="U62" s="30">
        <v>159772.34400000001</v>
      </c>
      <c r="V62" s="30">
        <v>178328.47500000001</v>
      </c>
      <c r="W62" s="158">
        <v>231437.136</v>
      </c>
      <c r="X62" s="158">
        <v>217897.53099999999</v>
      </c>
      <c r="Y62" s="158">
        <v>238072.77600000001</v>
      </c>
      <c r="Z62" s="158">
        <v>255072.071</v>
      </c>
      <c r="AA62" s="158">
        <v>328111.03100000002</v>
      </c>
      <c r="AB62" s="158">
        <v>379394.98200000002</v>
      </c>
      <c r="AC62" s="158">
        <v>396312</v>
      </c>
      <c r="AD62" s="30">
        <v>413718.272</v>
      </c>
      <c r="AE62" s="30">
        <v>406954.59700000001</v>
      </c>
      <c r="AF62" s="30">
        <v>414138.49200000003</v>
      </c>
      <c r="AG62" s="30">
        <v>430028.04700000002</v>
      </c>
      <c r="AH62" s="30">
        <v>473668.76799999998</v>
      </c>
      <c r="AI62" s="30">
        <v>500406.848</v>
      </c>
      <c r="AJ62" s="30"/>
      <c r="AK62" s="30">
        <v>585962.81000000006</v>
      </c>
    </row>
    <row r="63" spans="1:37">
      <c r="A63" s="56" t="s">
        <v>74</v>
      </c>
      <c r="B63" s="53"/>
      <c r="C63" s="53"/>
      <c r="D63" s="53"/>
      <c r="E63" s="53"/>
      <c r="F63" s="53"/>
      <c r="G63" s="53"/>
      <c r="H63" s="53"/>
      <c r="I63" s="53"/>
      <c r="J63" s="159">
        <v>8061.1350000000002</v>
      </c>
      <c r="K63" s="53"/>
      <c r="L63" s="53"/>
      <c r="M63" s="53">
        <v>10834.496999999999</v>
      </c>
      <c r="N63" s="53"/>
      <c r="O63" s="53">
        <v>15372.525960000001</v>
      </c>
      <c r="P63" s="53"/>
      <c r="Q63" s="53"/>
      <c r="R63" s="54">
        <v>11565.094999999999</v>
      </c>
      <c r="S63" s="53">
        <v>21529.335999999999</v>
      </c>
      <c r="T63" s="55">
        <v>15840.129000000001</v>
      </c>
      <c r="U63" s="53">
        <v>14631.991</v>
      </c>
      <c r="V63" s="53">
        <v>14037.932000000001</v>
      </c>
      <c r="W63" s="159">
        <v>21112.276999999998</v>
      </c>
      <c r="X63" s="159">
        <v>17087.491999999998</v>
      </c>
      <c r="Y63" s="159">
        <v>17401</v>
      </c>
      <c r="Z63" s="159">
        <v>20375.575000000001</v>
      </c>
      <c r="AA63" s="159">
        <v>19789.932000000001</v>
      </c>
      <c r="AB63" s="159">
        <v>27224.065999999999</v>
      </c>
      <c r="AC63" s="159">
        <v>29353</v>
      </c>
      <c r="AD63" s="30">
        <v>28652.757000000001</v>
      </c>
      <c r="AE63" s="30">
        <v>31944.017</v>
      </c>
      <c r="AF63" s="30">
        <v>32130.768</v>
      </c>
      <c r="AG63" s="30">
        <v>32498.006000000001</v>
      </c>
      <c r="AH63" s="30">
        <v>35945.51</v>
      </c>
      <c r="AI63" s="30">
        <v>36225.733999999997</v>
      </c>
      <c r="AJ63" s="30"/>
      <c r="AK63" s="30">
        <v>51243.802000000003</v>
      </c>
    </row>
    <row r="64" spans="1:37" ht="12.75" customHeight="1"/>
    <row r="65" spans="1:37" ht="12.75" customHeight="1"/>
    <row r="66" spans="1:37" ht="12.75" customHeight="1">
      <c r="A66" s="1" t="s">
        <v>97</v>
      </c>
      <c r="B66" s="1" t="s">
        <v>89</v>
      </c>
      <c r="I66" s="1" t="s">
        <v>98</v>
      </c>
      <c r="J66" s="1" t="s">
        <v>99</v>
      </c>
      <c r="M66" s="34" t="s">
        <v>100</v>
      </c>
      <c r="N66" s="21" t="s">
        <v>101</v>
      </c>
      <c r="O66" s="1" t="s">
        <v>102</v>
      </c>
      <c r="R66" s="1" t="s">
        <v>102</v>
      </c>
      <c r="U66" s="34" t="s">
        <v>100</v>
      </c>
      <c r="V66" s="34" t="s">
        <v>100</v>
      </c>
      <c r="W66" s="34" t="s">
        <v>100</v>
      </c>
      <c r="X66" s="34" t="s">
        <v>100</v>
      </c>
      <c r="Y66" s="34"/>
      <c r="Z66" s="34"/>
      <c r="AA66" s="34"/>
      <c r="AB66" s="34"/>
      <c r="AC66" s="34"/>
      <c r="AF66" s="34" t="s">
        <v>100</v>
      </c>
      <c r="AG66" s="34"/>
      <c r="AH66" s="34"/>
      <c r="AI66" s="34"/>
      <c r="AJ66" s="34"/>
      <c r="AK66" s="34"/>
    </row>
    <row r="67" spans="1:37" ht="12.75" customHeight="1">
      <c r="A67" s="1" t="s">
        <v>103</v>
      </c>
      <c r="B67" s="1" t="s">
        <v>98</v>
      </c>
      <c r="I67" s="1" t="s">
        <v>104</v>
      </c>
      <c r="J67" s="1" t="s">
        <v>105</v>
      </c>
      <c r="M67" s="1" t="s">
        <v>106</v>
      </c>
      <c r="N67" s="1" t="s">
        <v>107</v>
      </c>
      <c r="O67" s="1" t="s">
        <v>108</v>
      </c>
      <c r="R67" s="1" t="s">
        <v>109</v>
      </c>
      <c r="U67" s="1" t="s">
        <v>106</v>
      </c>
      <c r="V67" s="1" t="s">
        <v>106</v>
      </c>
      <c r="W67" s="1" t="s">
        <v>106</v>
      </c>
      <c r="X67" s="1" t="s">
        <v>106</v>
      </c>
      <c r="Y67" s="1"/>
      <c r="Z67" s="1"/>
      <c r="AA67" s="1"/>
      <c r="AB67" s="1"/>
      <c r="AC67" s="1"/>
      <c r="AF67" s="1" t="s">
        <v>106</v>
      </c>
    </row>
    <row r="68" spans="1:37" ht="12.75" customHeight="1">
      <c r="A68" s="1" t="s">
        <v>110</v>
      </c>
      <c r="B68" s="1" t="s">
        <v>104</v>
      </c>
      <c r="I68" s="1" t="s">
        <v>111</v>
      </c>
      <c r="J68" s="1" t="s">
        <v>112</v>
      </c>
      <c r="M68" s="1" t="s">
        <v>113</v>
      </c>
      <c r="N68" s="1" t="s">
        <v>114</v>
      </c>
      <c r="U68" s="1" t="s">
        <v>113</v>
      </c>
      <c r="V68" s="1" t="s">
        <v>113</v>
      </c>
      <c r="W68" s="1" t="s">
        <v>113</v>
      </c>
      <c r="X68" s="1" t="s">
        <v>113</v>
      </c>
      <c r="Y68" s="1"/>
      <c r="Z68" s="1"/>
      <c r="AA68" s="1"/>
      <c r="AB68" s="1"/>
      <c r="AC68" s="1"/>
      <c r="AF68" s="1" t="s">
        <v>113</v>
      </c>
    </row>
    <row r="69" spans="1:37" ht="12.75" customHeight="1">
      <c r="A69" s="1" t="s">
        <v>7</v>
      </c>
      <c r="B69" s="1" t="s">
        <v>111</v>
      </c>
      <c r="I69" s="1" t="s">
        <v>115</v>
      </c>
      <c r="M69" s="41"/>
      <c r="N69" s="41"/>
    </row>
    <row r="70" spans="1:37" ht="12.75" customHeight="1">
      <c r="A70" s="1" t="s">
        <v>116</v>
      </c>
      <c r="B70" s="1" t="s">
        <v>115</v>
      </c>
      <c r="I70" s="1" t="s">
        <v>117</v>
      </c>
    </row>
    <row r="71" spans="1:37" ht="12.75" customHeight="1">
      <c r="A71" s="1" t="s">
        <v>10</v>
      </c>
      <c r="B71" s="1" t="s">
        <v>117</v>
      </c>
      <c r="I71" s="1" t="s">
        <v>118</v>
      </c>
    </row>
    <row r="72" spans="1:37" ht="12.75" customHeight="1">
      <c r="A72" s="1" t="s">
        <v>119</v>
      </c>
      <c r="B72" s="1" t="s">
        <v>118</v>
      </c>
      <c r="I72" s="1" t="s">
        <v>120</v>
      </c>
    </row>
    <row r="73" spans="1:37" ht="12.75" customHeight="1">
      <c r="A73" s="1" t="s">
        <v>121</v>
      </c>
      <c r="B73" s="1" t="s">
        <v>120</v>
      </c>
      <c r="I73" s="1" t="s">
        <v>122</v>
      </c>
    </row>
    <row r="74" spans="1:37" ht="12.75" customHeight="1">
      <c r="A74" s="1" t="s">
        <v>123</v>
      </c>
      <c r="B74" s="1" t="s">
        <v>122</v>
      </c>
      <c r="I74" s="1" t="s">
        <v>124</v>
      </c>
    </row>
    <row r="75" spans="1:37" ht="12.75" customHeight="1">
      <c r="A75" s="1" t="s">
        <v>125</v>
      </c>
      <c r="B75" s="1" t="s">
        <v>124</v>
      </c>
      <c r="I75" s="1" t="s">
        <v>126</v>
      </c>
    </row>
    <row r="76" spans="1:37" ht="12.75" customHeight="1">
      <c r="A76" s="1" t="s">
        <v>127</v>
      </c>
      <c r="B76" s="1" t="s">
        <v>126</v>
      </c>
      <c r="I76" s="1" t="s">
        <v>128</v>
      </c>
    </row>
    <row r="77" spans="1:37" ht="12.75" customHeight="1">
      <c r="A77" s="1" t="s">
        <v>129</v>
      </c>
      <c r="B77" s="1" t="s">
        <v>130</v>
      </c>
      <c r="I77" s="1" t="s">
        <v>131</v>
      </c>
    </row>
    <row r="78" spans="1:37" ht="12.75" customHeight="1">
      <c r="A78" s="1" t="s">
        <v>132</v>
      </c>
      <c r="B78" s="1" t="s">
        <v>131</v>
      </c>
      <c r="I78" s="1" t="s">
        <v>133</v>
      </c>
    </row>
    <row r="79" spans="1:37" ht="12.75" customHeight="1">
      <c r="A79" s="1" t="s">
        <v>134</v>
      </c>
      <c r="B79" s="1" t="s">
        <v>135</v>
      </c>
    </row>
    <row r="80" spans="1:37" ht="12.75" customHeight="1">
      <c r="A80" s="1" t="s">
        <v>136</v>
      </c>
    </row>
    <row r="81" spans="1:210" ht="9.9499999999999993" customHeight="1">
      <c r="A81" s="1" t="s">
        <v>137</v>
      </c>
    </row>
    <row r="82" spans="1:210" ht="9.9499999999999993" customHeight="1">
      <c r="A82" s="1" t="s">
        <v>138</v>
      </c>
      <c r="GT82" s="4"/>
      <c r="GU82" s="4"/>
      <c r="GV82" s="4"/>
      <c r="GW82" s="4"/>
      <c r="GX82" s="4"/>
      <c r="GY82" s="4"/>
      <c r="GZ82" s="4"/>
      <c r="HA82" s="4"/>
      <c r="HB82" s="4"/>
    </row>
    <row r="83" spans="1:210">
      <c r="A83" s="1" t="s">
        <v>10</v>
      </c>
      <c r="GR83" s="4"/>
      <c r="GS83" s="4"/>
      <c r="GT83" s="4"/>
      <c r="GU83" s="4"/>
      <c r="GV83" s="4"/>
      <c r="GW83" s="4"/>
      <c r="GX83" s="4"/>
      <c r="GY83" s="4"/>
      <c r="GZ83" s="4"/>
      <c r="HA83" s="4"/>
      <c r="HB83" s="4"/>
    </row>
    <row r="84" spans="1:210">
      <c r="A84" s="1" t="s">
        <v>139</v>
      </c>
      <c r="GR84" s="4"/>
      <c r="GS84" s="4"/>
      <c r="GT84" s="4"/>
      <c r="GU84" s="4"/>
      <c r="GV84" s="4"/>
      <c r="GW84" s="4"/>
      <c r="GX84" s="4"/>
      <c r="GY84" s="4"/>
      <c r="GZ84" s="4"/>
      <c r="HA84" s="4"/>
      <c r="HB84" s="4"/>
    </row>
    <row r="85" spans="1:210">
      <c r="A85" s="1" t="s">
        <v>140</v>
      </c>
      <c r="GT85" s="4"/>
      <c r="GU85" s="4"/>
      <c r="GV85" s="4"/>
      <c r="GW85" s="4"/>
      <c r="GX85" s="4"/>
      <c r="GY85" s="4"/>
      <c r="GZ85" s="4"/>
    </row>
    <row r="86" spans="1:210">
      <c r="GT86" s="4"/>
      <c r="GU86" s="4"/>
      <c r="GV86" s="4"/>
      <c r="GW86" s="4"/>
      <c r="GX86" s="4"/>
      <c r="GY86" s="4"/>
      <c r="GZ86" s="4"/>
    </row>
    <row r="87" spans="1:210">
      <c r="GT87" s="4"/>
      <c r="GU87" s="4"/>
      <c r="GV87" s="4"/>
      <c r="GW87" s="4"/>
      <c r="GX87" s="4"/>
      <c r="GY87" s="4"/>
      <c r="GZ87" s="4"/>
    </row>
    <row r="92" spans="1:210">
      <c r="B92" s="12"/>
      <c r="C92" s="12"/>
      <c r="D92" s="12"/>
      <c r="E92" s="12"/>
      <c r="F92" s="12"/>
      <c r="G92" s="12"/>
      <c r="H92" s="12"/>
      <c r="I92" s="12"/>
    </row>
  </sheetData>
  <phoneticPr fontId="8" type="noConversion"/>
  <pageMargins left="0.5" right="0.5" top="0.5" bottom="0.55000000000000004" header="0.5" footer="0.5"/>
  <pageSetup scale="88" orientation="portrait" r:id="rId1"/>
  <headerFooter alignWithMargins="0">
    <oddFooter>&amp;LSREB Fact Book 1996/1997&amp;CUpdate&amp;R&amp;D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5">
    <tabColor indexed="62"/>
  </sheetPr>
  <dimension ref="A1:HB92"/>
  <sheetViews>
    <sheetView showZeros="0" zoomScaleNormal="100" workbookViewId="0">
      <pane xSplit="1" ySplit="3" topLeftCell="Y4" activePane="bottomRight" state="frozen"/>
      <selection pane="topRight" activeCell="O44" sqref="O44"/>
      <selection pane="bottomLeft" activeCell="O44" sqref="O44"/>
      <selection pane="bottomRight" activeCell="AK18" sqref="AK18"/>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3" width="10.7109375" style="1" customWidth="1"/>
    <col min="34" max="34" width="10.7109375" style="1" bestFit="1" customWidth="1"/>
    <col min="35" max="35" width="10.7109375" style="1" customWidth="1"/>
    <col min="36" max="36" width="10.7109375" style="1" bestFit="1" customWidth="1"/>
    <col min="37" max="37" width="10.710937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141</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42">
        <v>2018</v>
      </c>
      <c r="AK3" s="142">
        <v>2019</v>
      </c>
    </row>
    <row r="4" spans="1:39" ht="12.75" customHeight="1">
      <c r="A4" s="53" t="s">
        <v>19</v>
      </c>
      <c r="B4" s="53">
        <f>41991+114315</f>
        <v>156306</v>
      </c>
      <c r="C4" s="53">
        <f>45452+122091</f>
        <v>167543</v>
      </c>
      <c r="D4" s="53">
        <f>40291+130643</f>
        <v>170934</v>
      </c>
      <c r="E4" s="53"/>
      <c r="F4" s="53"/>
      <c r="G4" s="53"/>
      <c r="H4" s="53"/>
      <c r="I4" s="53">
        <v>221794.818</v>
      </c>
      <c r="J4" s="61">
        <f>+J5+J23+J38+J52+J63</f>
        <v>192631.435</v>
      </c>
      <c r="K4" s="53">
        <v>203098.84299999999</v>
      </c>
      <c r="L4" s="53">
        <v>206170.94399999999</v>
      </c>
      <c r="M4" s="61">
        <f>+M5+M23+M38+M52+M63</f>
        <v>197081.671</v>
      </c>
      <c r="N4" s="53">
        <v>278416.71399999998</v>
      </c>
      <c r="O4" s="61">
        <f>+O5+O23+O38+O52+O63</f>
        <v>195113.28771999999</v>
      </c>
      <c r="P4" s="53"/>
      <c r="Q4" s="53"/>
      <c r="R4" s="61">
        <f t="shared" ref="R4:AA4" si="0">+R5+R23+R38+R52+R63</f>
        <v>195089.58</v>
      </c>
      <c r="S4" s="61">
        <f t="shared" si="0"/>
        <v>191336.54300000001</v>
      </c>
      <c r="T4" s="66">
        <f t="shared" si="0"/>
        <v>173418.90100000001</v>
      </c>
      <c r="U4" s="61">
        <f t="shared" si="0"/>
        <v>181987.61000000002</v>
      </c>
      <c r="V4" s="61">
        <f t="shared" si="0"/>
        <v>229604.18300000002</v>
      </c>
      <c r="W4" s="61">
        <f t="shared" si="0"/>
        <v>245770.96000000002</v>
      </c>
      <c r="X4" s="61">
        <f t="shared" si="0"/>
        <v>267146.69600000005</v>
      </c>
      <c r="Y4" s="61">
        <f t="shared" si="0"/>
        <v>370555.39</v>
      </c>
      <c r="Z4" s="61">
        <f t="shared" si="0"/>
        <v>382559.315</v>
      </c>
      <c r="AA4" s="61">
        <f t="shared" si="0"/>
        <v>329784.68699999998</v>
      </c>
      <c r="AB4" s="61">
        <f t="shared" ref="AB4:AD4" si="1">+AB5+AB23+AB38+AB52+AB63</f>
        <v>181844.58500000002</v>
      </c>
      <c r="AC4" s="61">
        <f t="shared" si="1"/>
        <v>184747</v>
      </c>
      <c r="AD4" s="61">
        <f t="shared" si="1"/>
        <v>186105.89899999998</v>
      </c>
      <c r="AE4" s="61">
        <f t="shared" ref="AE4:AF4" si="2">+AE5+AE23+AE38+AE52+AE63</f>
        <v>212246.97600000002</v>
      </c>
      <c r="AF4" s="61">
        <f t="shared" si="2"/>
        <v>187352.63099999999</v>
      </c>
      <c r="AG4" s="61">
        <f>+AG5+AG23+AG38+AG52+AG63</f>
        <v>211954.95500000002</v>
      </c>
      <c r="AH4" s="61">
        <f>+AH5+AH23+AH38+AH52+AH63</f>
        <v>320831.7</v>
      </c>
      <c r="AI4" s="61">
        <f t="shared" ref="AI4:AK4" si="3">+AI5+AI23+AI38+AI52+AI63</f>
        <v>372297.4</v>
      </c>
      <c r="AJ4" s="61">
        <f t="shared" si="3"/>
        <v>0</v>
      </c>
      <c r="AK4" s="61">
        <f t="shared" si="3"/>
        <v>418988.96400000004</v>
      </c>
    </row>
    <row r="5" spans="1:39" ht="12.75" customHeight="1">
      <c r="A5" s="1" t="s">
        <v>20</v>
      </c>
      <c r="B5" s="58">
        <f>SUM(B7:B22)</f>
        <v>15851</v>
      </c>
      <c r="C5" s="58">
        <f t="shared" ref="C5:D5" si="4">SUM(C7:C22)</f>
        <v>19411</v>
      </c>
      <c r="D5" s="58">
        <f t="shared" si="4"/>
        <v>19719</v>
      </c>
      <c r="I5" s="58">
        <f t="shared" ref="I5:L5" si="5">SUM(I7:I22)</f>
        <v>23985.902000000002</v>
      </c>
      <c r="J5" s="58">
        <f t="shared" si="5"/>
        <v>22493.732</v>
      </c>
      <c r="K5" s="58">
        <f t="shared" si="5"/>
        <v>23370.338999999996</v>
      </c>
      <c r="L5" s="58">
        <f t="shared" si="5"/>
        <v>25440.570000000003</v>
      </c>
      <c r="M5" s="58">
        <f t="shared" ref="M5:O5" si="6">SUM(M7:M22)</f>
        <v>21703.82</v>
      </c>
      <c r="N5" s="58">
        <f t="shared" si="6"/>
        <v>25178.800999999999</v>
      </c>
      <c r="O5" s="58">
        <f t="shared" si="6"/>
        <v>25667.924139999996</v>
      </c>
      <c r="R5" s="58">
        <f t="shared" ref="R5:AA5" si="7">SUM(R7:R22)</f>
        <v>29324.542999999998</v>
      </c>
      <c r="S5" s="58">
        <f t="shared" si="7"/>
        <v>35171.167999999998</v>
      </c>
      <c r="T5" s="67">
        <f t="shared" si="7"/>
        <v>22497.332999999999</v>
      </c>
      <c r="U5" s="58">
        <f t="shared" si="7"/>
        <v>26106.387999999999</v>
      </c>
      <c r="V5" s="58">
        <f t="shared" si="7"/>
        <v>71071.608999999997</v>
      </c>
      <c r="W5" s="58">
        <f t="shared" si="7"/>
        <v>76675.642000000007</v>
      </c>
      <c r="X5" s="58">
        <f t="shared" si="7"/>
        <v>91393.018000000011</v>
      </c>
      <c r="Y5" s="58">
        <f t="shared" si="7"/>
        <v>99160.755000000005</v>
      </c>
      <c r="Z5" s="58">
        <f t="shared" si="7"/>
        <v>102735.421</v>
      </c>
      <c r="AA5" s="58">
        <f t="shared" si="7"/>
        <v>53671.085999999996</v>
      </c>
      <c r="AB5" s="58">
        <f t="shared" ref="AB5:AD5" si="8">SUM(AB7:AB22)</f>
        <v>44085.962</v>
      </c>
      <c r="AC5" s="58">
        <f t="shared" si="8"/>
        <v>46597</v>
      </c>
      <c r="AD5" s="58">
        <f t="shared" si="8"/>
        <v>47241.978999999992</v>
      </c>
      <c r="AE5" s="58">
        <f t="shared" ref="AE5:AF5" si="9">SUM(AE7:AE22)</f>
        <v>50950.063000000002</v>
      </c>
      <c r="AF5" s="58">
        <f t="shared" si="9"/>
        <v>34490.889000000003</v>
      </c>
      <c r="AG5" s="58">
        <f t="shared" ref="AG5:AI5" si="10">SUM(AG7:AG22)</f>
        <v>54952.043000000005</v>
      </c>
      <c r="AH5" s="58">
        <f t="shared" si="10"/>
        <v>57154.356</v>
      </c>
      <c r="AI5" s="58">
        <f t="shared" si="10"/>
        <v>39882.970999999998</v>
      </c>
      <c r="AJ5" s="58">
        <f t="shared" ref="AJ5:AK5" si="11">SUM(AJ7:AJ22)</f>
        <v>0</v>
      </c>
      <c r="AK5" s="58">
        <f t="shared" si="11"/>
        <v>35943.324999999997</v>
      </c>
    </row>
    <row r="6" spans="1:39" ht="12.75" customHeight="1">
      <c r="A6" s="6" t="s">
        <v>94</v>
      </c>
      <c r="J6" s="157"/>
      <c r="R6" s="20"/>
      <c r="T6" s="51"/>
      <c r="AA6" s="10">
        <v>0</v>
      </c>
      <c r="AH6" s="1">
        <v>0</v>
      </c>
      <c r="AI6" s="1">
        <v>0</v>
      </c>
    </row>
    <row r="7" spans="1:39" ht="12.75" customHeight="1">
      <c r="A7" s="1" t="s">
        <v>21</v>
      </c>
      <c r="B7" s="1">
        <f>1915+2604</f>
        <v>4519</v>
      </c>
      <c r="C7" s="1">
        <f>2067+2749</f>
        <v>4816</v>
      </c>
      <c r="D7" s="1">
        <f>2190+3195</f>
        <v>5385</v>
      </c>
      <c r="I7" s="1">
        <v>4413.808</v>
      </c>
      <c r="J7" s="157">
        <v>3395.3389999999999</v>
      </c>
      <c r="K7" s="1">
        <v>2432.4119999999998</v>
      </c>
      <c r="L7" s="1">
        <v>3919.4690000000001</v>
      </c>
      <c r="M7" s="1">
        <v>3209.23</v>
      </c>
      <c r="N7" s="1">
        <v>3184.2629999999999</v>
      </c>
      <c r="O7" s="1">
        <v>3246.3969999999999</v>
      </c>
      <c r="R7" s="27">
        <v>2618.9090000000001</v>
      </c>
      <c r="S7" s="1">
        <v>2796.6329999999998</v>
      </c>
      <c r="T7" s="51">
        <v>0</v>
      </c>
      <c r="U7" s="1">
        <v>0</v>
      </c>
      <c r="V7" s="1">
        <v>0</v>
      </c>
      <c r="W7" s="157">
        <v>0</v>
      </c>
      <c r="X7" s="157">
        <v>0</v>
      </c>
      <c r="Y7" s="157">
        <v>0</v>
      </c>
      <c r="Z7" s="157">
        <v>0</v>
      </c>
      <c r="AA7" s="157">
        <v>11805.13</v>
      </c>
      <c r="AB7" s="157">
        <v>0</v>
      </c>
      <c r="AC7" s="157">
        <v>0</v>
      </c>
      <c r="AG7" s="1">
        <v>50</v>
      </c>
      <c r="AH7" s="1">
        <v>0</v>
      </c>
      <c r="AI7" s="1">
        <v>0</v>
      </c>
      <c r="AK7" s="1">
        <v>0</v>
      </c>
    </row>
    <row r="8" spans="1:39" ht="12.75" customHeight="1">
      <c r="A8" s="1" t="s">
        <v>22</v>
      </c>
      <c r="B8" s="1">
        <v>0</v>
      </c>
      <c r="C8" s="1">
        <v>0</v>
      </c>
      <c r="D8" s="1">
        <v>0</v>
      </c>
      <c r="I8" s="1">
        <v>0</v>
      </c>
      <c r="J8" s="157">
        <v>0</v>
      </c>
      <c r="K8" s="1">
        <v>0</v>
      </c>
      <c r="L8" s="1">
        <v>0</v>
      </c>
      <c r="M8" s="1">
        <v>0</v>
      </c>
      <c r="N8" s="1">
        <v>0</v>
      </c>
      <c r="O8" s="1">
        <v>0</v>
      </c>
      <c r="R8" s="27">
        <v>1835.721</v>
      </c>
      <c r="S8" s="1">
        <v>1979.913</v>
      </c>
      <c r="T8" s="51">
        <v>2093.71</v>
      </c>
      <c r="U8" s="1">
        <v>4323.6580000000004</v>
      </c>
      <c r="V8" s="1">
        <v>4545.8919999999998</v>
      </c>
      <c r="W8" s="157">
        <v>4847.3639999999996</v>
      </c>
      <c r="X8" s="157">
        <v>5166.26</v>
      </c>
      <c r="Y8" s="157">
        <v>0</v>
      </c>
      <c r="Z8" s="157">
        <v>0</v>
      </c>
      <c r="AA8" s="157">
        <v>5753.2839999999997</v>
      </c>
      <c r="AB8" s="157">
        <v>5286.9080000000004</v>
      </c>
      <c r="AC8" s="157">
        <v>5397</v>
      </c>
      <c r="AD8" s="1">
        <v>5658.7950000000001</v>
      </c>
      <c r="AE8" s="1">
        <v>5508.8890000000001</v>
      </c>
      <c r="AF8" s="1">
        <v>5654.9880000000003</v>
      </c>
      <c r="AG8" s="1">
        <v>5839.6790000000001</v>
      </c>
      <c r="AH8" s="1">
        <v>5926.91</v>
      </c>
      <c r="AI8" s="1">
        <v>6147.2089999999998</v>
      </c>
      <c r="AK8" s="1">
        <v>6247.1850000000004</v>
      </c>
    </row>
    <row r="9" spans="1:39" ht="12.75" customHeight="1">
      <c r="A9" s="1" t="s">
        <v>23</v>
      </c>
      <c r="D9" s="1">
        <v>0</v>
      </c>
      <c r="J9" s="157">
        <v>0</v>
      </c>
      <c r="M9" s="1">
        <v>0</v>
      </c>
      <c r="N9" s="1">
        <v>0</v>
      </c>
      <c r="O9" s="1">
        <v>0</v>
      </c>
      <c r="R9" s="27">
        <v>0</v>
      </c>
      <c r="S9" s="38">
        <v>0</v>
      </c>
      <c r="T9" s="52">
        <v>0</v>
      </c>
      <c r="U9" s="38">
        <v>0</v>
      </c>
      <c r="V9" s="38">
        <v>0</v>
      </c>
      <c r="W9" s="157">
        <v>0</v>
      </c>
      <c r="X9" s="157">
        <v>0</v>
      </c>
      <c r="Y9" s="157">
        <v>0</v>
      </c>
      <c r="Z9" s="157">
        <v>0</v>
      </c>
      <c r="AA9" s="157">
        <v>0</v>
      </c>
      <c r="AB9" s="157">
        <v>0</v>
      </c>
      <c r="AC9" s="157">
        <v>0</v>
      </c>
      <c r="AD9" s="1">
        <v>0</v>
      </c>
      <c r="AE9" s="1">
        <v>0</v>
      </c>
      <c r="AF9" s="1">
        <v>0</v>
      </c>
      <c r="AG9" s="1">
        <v>0</v>
      </c>
      <c r="AH9" s="1">
        <v>0</v>
      </c>
      <c r="AI9" s="1">
        <v>0</v>
      </c>
      <c r="AK9" s="1">
        <v>0</v>
      </c>
    </row>
    <row r="10" spans="1:39" ht="12.75" customHeight="1">
      <c r="A10" s="1" t="s">
        <v>24</v>
      </c>
      <c r="B10" s="1">
        <v>0</v>
      </c>
      <c r="C10" s="1">
        <v>0</v>
      </c>
      <c r="D10" s="1">
        <v>0</v>
      </c>
      <c r="I10" s="1">
        <v>0</v>
      </c>
      <c r="J10" s="157">
        <v>0</v>
      </c>
      <c r="K10" s="1">
        <v>0</v>
      </c>
      <c r="L10" s="1">
        <v>0</v>
      </c>
      <c r="M10" s="1">
        <v>0</v>
      </c>
      <c r="N10" s="1">
        <v>0</v>
      </c>
      <c r="O10" s="1">
        <v>0</v>
      </c>
      <c r="R10" s="27">
        <v>0</v>
      </c>
      <c r="S10" s="1">
        <v>0</v>
      </c>
      <c r="T10" s="51">
        <v>0</v>
      </c>
      <c r="U10" s="1">
        <v>0</v>
      </c>
      <c r="V10" s="1">
        <v>0</v>
      </c>
      <c r="W10" s="157">
        <v>0</v>
      </c>
      <c r="X10" s="157">
        <v>0</v>
      </c>
      <c r="Y10" s="157">
        <v>0</v>
      </c>
      <c r="Z10" s="157">
        <v>0</v>
      </c>
      <c r="AA10" s="157">
        <v>0</v>
      </c>
      <c r="AB10" s="157">
        <v>0</v>
      </c>
      <c r="AC10" s="157">
        <v>0</v>
      </c>
      <c r="AD10" s="1">
        <v>0</v>
      </c>
      <c r="AE10" s="1">
        <v>0</v>
      </c>
      <c r="AF10" s="1">
        <v>0</v>
      </c>
      <c r="AG10" s="1">
        <v>0</v>
      </c>
      <c r="AH10" s="1">
        <v>0</v>
      </c>
      <c r="AI10" s="1">
        <v>0</v>
      </c>
      <c r="AK10" s="1">
        <v>0</v>
      </c>
    </row>
    <row r="11" spans="1:39" ht="12.75" customHeight="1">
      <c r="A11" s="1" t="s">
        <v>25</v>
      </c>
      <c r="B11" s="1">
        <v>5773</v>
      </c>
      <c r="C11" s="1">
        <v>7093</v>
      </c>
      <c r="D11" s="1">
        <f>7208+0</f>
        <v>7208</v>
      </c>
      <c r="I11" s="1">
        <v>8760.2530000000006</v>
      </c>
      <c r="J11" s="157">
        <v>9734.5630000000001</v>
      </c>
      <c r="K11" s="1">
        <v>9877.7990000000009</v>
      </c>
      <c r="L11" s="1">
        <v>10430.201999999999</v>
      </c>
      <c r="M11" s="1">
        <v>9772.1669999999995</v>
      </c>
      <c r="N11" s="1">
        <v>10180.243</v>
      </c>
      <c r="O11" s="1">
        <v>10566.755999999999</v>
      </c>
      <c r="R11" s="27">
        <v>13730.72</v>
      </c>
      <c r="S11" s="1">
        <v>14568.977999999999</v>
      </c>
      <c r="T11" s="51">
        <v>0</v>
      </c>
      <c r="U11" s="1">
        <v>0</v>
      </c>
      <c r="V11" s="1">
        <v>0</v>
      </c>
      <c r="W11" s="157">
        <v>0</v>
      </c>
      <c r="X11" s="157">
        <v>0</v>
      </c>
      <c r="Y11" s="157">
        <v>0</v>
      </c>
      <c r="Z11" s="157">
        <v>0</v>
      </c>
      <c r="AA11" s="157">
        <v>0</v>
      </c>
      <c r="AB11" s="157">
        <v>0</v>
      </c>
      <c r="AC11" s="157">
        <v>0</v>
      </c>
      <c r="AD11" s="1">
        <v>0</v>
      </c>
      <c r="AE11" s="1">
        <v>0</v>
      </c>
      <c r="AF11" s="1">
        <v>0</v>
      </c>
      <c r="AG11" s="1">
        <v>0</v>
      </c>
      <c r="AH11" s="1">
        <v>0</v>
      </c>
      <c r="AI11" s="1">
        <v>0</v>
      </c>
      <c r="AK11" s="1">
        <v>0</v>
      </c>
    </row>
    <row r="12" spans="1:39" ht="12.75" customHeight="1">
      <c r="A12" s="1" t="s">
        <v>26</v>
      </c>
      <c r="B12" s="1">
        <v>2866</v>
      </c>
      <c r="C12" s="1">
        <v>2955</v>
      </c>
      <c r="D12" s="1">
        <v>3139</v>
      </c>
      <c r="I12" s="1">
        <v>4681.9089999999997</v>
      </c>
      <c r="J12" s="157">
        <v>4904.3339999999998</v>
      </c>
      <c r="K12" s="1">
        <v>4939.1509999999998</v>
      </c>
      <c r="L12" s="1">
        <v>5709.29</v>
      </c>
      <c r="M12" s="1">
        <v>5105.7650000000003</v>
      </c>
      <c r="N12" s="1">
        <v>6041.2439999999997</v>
      </c>
      <c r="O12" s="1">
        <v>6025.8059999999996</v>
      </c>
      <c r="R12" s="20">
        <v>7175.61</v>
      </c>
      <c r="S12" s="1">
        <v>7960.2539999999999</v>
      </c>
      <c r="T12" s="51">
        <v>8649.8150000000005</v>
      </c>
      <c r="U12" s="1">
        <v>9800.4560000000001</v>
      </c>
      <c r="V12" s="1">
        <v>10083.679</v>
      </c>
      <c r="W12" s="157">
        <v>11567.197</v>
      </c>
      <c r="X12" s="157">
        <v>11998.192999999999</v>
      </c>
      <c r="Y12" s="157">
        <v>12817.459000000001</v>
      </c>
      <c r="Z12" s="157">
        <v>14017.057000000001</v>
      </c>
      <c r="AA12" s="157">
        <v>14451.243</v>
      </c>
      <c r="AB12" s="157">
        <v>16393.806</v>
      </c>
      <c r="AC12" s="157">
        <v>18217</v>
      </c>
      <c r="AD12" s="1">
        <v>17456.580999999998</v>
      </c>
      <c r="AE12" s="1">
        <v>19311.605</v>
      </c>
      <c r="AF12" s="1">
        <v>20337.887999999999</v>
      </c>
      <c r="AG12" s="1">
        <v>21974.588</v>
      </c>
      <c r="AH12" s="1">
        <v>23716.534</v>
      </c>
      <c r="AI12" s="1">
        <v>24906.008000000002</v>
      </c>
      <c r="AK12" s="1">
        <v>26688.886999999999</v>
      </c>
    </row>
    <row r="13" spans="1:39" ht="12.75" customHeight="1">
      <c r="A13" s="1" t="s">
        <v>27</v>
      </c>
      <c r="B13" s="1">
        <v>317</v>
      </c>
      <c r="C13" s="1">
        <v>1094</v>
      </c>
      <c r="D13" s="1">
        <f>0+1152</f>
        <v>1152</v>
      </c>
      <c r="I13" s="1">
        <v>455.858</v>
      </c>
      <c r="J13" s="157">
        <v>445.48599999999999</v>
      </c>
      <c r="K13" s="1">
        <v>441.33300000000003</v>
      </c>
      <c r="L13" s="1">
        <v>449.31</v>
      </c>
      <c r="M13" s="1">
        <v>419.30200000000002</v>
      </c>
      <c r="N13" s="1">
        <v>414.03800000000001</v>
      </c>
      <c r="O13" s="1">
        <v>424.745</v>
      </c>
      <c r="R13" s="20">
        <v>477.73200000000003</v>
      </c>
      <c r="S13" s="1">
        <v>517.15099999999995</v>
      </c>
      <c r="T13" s="51">
        <v>0</v>
      </c>
      <c r="U13" s="1">
        <v>0</v>
      </c>
      <c r="V13" s="1">
        <v>0</v>
      </c>
      <c r="W13" s="157">
        <v>0</v>
      </c>
      <c r="X13" s="157">
        <v>0</v>
      </c>
      <c r="Y13" s="157">
        <v>0</v>
      </c>
      <c r="Z13" s="157">
        <v>0</v>
      </c>
      <c r="AA13" s="157">
        <v>0</v>
      </c>
      <c r="AB13" s="157">
        <v>0</v>
      </c>
      <c r="AC13" s="157">
        <v>0</v>
      </c>
      <c r="AD13" s="1">
        <v>0</v>
      </c>
      <c r="AE13" s="1">
        <v>0</v>
      </c>
      <c r="AF13" s="1">
        <v>0</v>
      </c>
      <c r="AG13" s="1">
        <v>0</v>
      </c>
      <c r="AH13" s="1">
        <v>0</v>
      </c>
      <c r="AI13" s="1">
        <v>0</v>
      </c>
      <c r="AK13" s="1">
        <v>0</v>
      </c>
    </row>
    <row r="14" spans="1:39" ht="12.75" customHeight="1">
      <c r="A14" s="1" t="s">
        <v>28</v>
      </c>
      <c r="B14" s="1">
        <v>0</v>
      </c>
      <c r="C14" s="1">
        <v>0</v>
      </c>
      <c r="D14" s="1">
        <f>0+0</f>
        <v>0</v>
      </c>
      <c r="I14" s="1">
        <v>0</v>
      </c>
      <c r="J14" s="157">
        <v>22.190999999999999</v>
      </c>
      <c r="K14" s="1">
        <v>0</v>
      </c>
      <c r="L14" s="1">
        <v>0</v>
      </c>
      <c r="M14" s="1">
        <v>0</v>
      </c>
      <c r="N14" s="1">
        <v>0</v>
      </c>
      <c r="O14" s="1">
        <v>0</v>
      </c>
      <c r="R14" s="20">
        <v>0</v>
      </c>
      <c r="S14" s="1">
        <v>0</v>
      </c>
      <c r="T14" s="51">
        <v>0</v>
      </c>
      <c r="U14" s="1">
        <v>0</v>
      </c>
      <c r="V14" s="1">
        <v>0</v>
      </c>
      <c r="W14" s="157">
        <v>0</v>
      </c>
      <c r="X14" s="157">
        <v>0</v>
      </c>
      <c r="Y14" s="157">
        <v>0</v>
      </c>
      <c r="Z14" s="157">
        <v>0</v>
      </c>
      <c r="AA14" s="157">
        <v>0</v>
      </c>
      <c r="AB14" s="157">
        <v>0</v>
      </c>
      <c r="AC14" s="157">
        <v>0</v>
      </c>
      <c r="AD14" s="1">
        <v>0</v>
      </c>
      <c r="AE14" s="1">
        <v>0</v>
      </c>
      <c r="AF14" s="1">
        <v>0</v>
      </c>
      <c r="AG14" s="1">
        <v>0</v>
      </c>
      <c r="AH14" s="1">
        <v>0</v>
      </c>
      <c r="AI14" s="1">
        <v>0</v>
      </c>
      <c r="AK14" s="1">
        <v>0</v>
      </c>
    </row>
    <row r="15" spans="1:39" ht="12.75" customHeight="1">
      <c r="A15" s="1" t="s">
        <v>29</v>
      </c>
      <c r="B15" s="1">
        <v>2373</v>
      </c>
      <c r="C15" s="1">
        <v>2578</v>
      </c>
      <c r="D15" s="1">
        <f>0+2796</f>
        <v>2796</v>
      </c>
      <c r="I15" s="1">
        <v>3294.3719999999998</v>
      </c>
      <c r="J15" s="157">
        <v>3263.7919999999999</v>
      </c>
      <c r="K15" s="1">
        <v>3099.7440000000001</v>
      </c>
      <c r="L15" s="1">
        <v>2382.5169999999998</v>
      </c>
      <c r="M15" s="1">
        <v>2494.489</v>
      </c>
      <c r="N15" s="1">
        <v>2618.567</v>
      </c>
      <c r="O15" s="1">
        <v>2577.1779999999999</v>
      </c>
      <c r="R15" s="20">
        <v>2882.4780000000001</v>
      </c>
      <c r="S15" s="1">
        <v>3020.9050000000002</v>
      </c>
      <c r="T15" s="51">
        <v>313.63900000000001</v>
      </c>
      <c r="U15" s="1">
        <v>157.5</v>
      </c>
      <c r="V15" s="1">
        <v>88.164000000000001</v>
      </c>
      <c r="W15" s="157">
        <v>0</v>
      </c>
      <c r="X15" s="157">
        <v>0</v>
      </c>
      <c r="Y15" s="157">
        <v>0</v>
      </c>
      <c r="Z15" s="157">
        <v>0</v>
      </c>
      <c r="AA15" s="157">
        <v>0</v>
      </c>
      <c r="AB15" s="157">
        <v>0</v>
      </c>
      <c r="AC15" s="157">
        <v>0</v>
      </c>
      <c r="AD15" s="1">
        <v>0</v>
      </c>
      <c r="AE15" s="1">
        <v>0</v>
      </c>
      <c r="AF15" s="1">
        <v>0</v>
      </c>
      <c r="AG15" s="1">
        <v>0</v>
      </c>
      <c r="AH15" s="1">
        <v>0</v>
      </c>
      <c r="AI15" s="1">
        <v>0</v>
      </c>
      <c r="AK15" s="1">
        <v>0</v>
      </c>
    </row>
    <row r="16" spans="1:39" ht="12.75" customHeight="1">
      <c r="A16" s="1" t="s">
        <v>30</v>
      </c>
      <c r="B16" s="1">
        <v>0</v>
      </c>
      <c r="C16" s="1">
        <v>0</v>
      </c>
      <c r="D16" s="1">
        <f>0+0</f>
        <v>0</v>
      </c>
      <c r="I16" s="1">
        <v>0</v>
      </c>
      <c r="J16" s="157">
        <v>1.5880000000000001</v>
      </c>
      <c r="K16" s="1">
        <v>0</v>
      </c>
      <c r="L16" s="1">
        <v>0</v>
      </c>
      <c r="M16" s="1">
        <v>0</v>
      </c>
      <c r="N16" s="1">
        <v>0</v>
      </c>
      <c r="O16" s="1">
        <v>0</v>
      </c>
      <c r="R16" s="20">
        <v>0</v>
      </c>
      <c r="S16" s="1">
        <v>0</v>
      </c>
      <c r="T16" s="51">
        <v>0</v>
      </c>
      <c r="U16" s="1">
        <v>0</v>
      </c>
      <c r="V16" s="1">
        <v>0</v>
      </c>
      <c r="W16" s="157">
        <v>0</v>
      </c>
      <c r="X16" s="157">
        <v>0</v>
      </c>
      <c r="Y16" s="157">
        <v>0</v>
      </c>
      <c r="Z16" s="157">
        <v>0</v>
      </c>
      <c r="AA16" s="157">
        <v>0</v>
      </c>
      <c r="AB16" s="157">
        <v>0</v>
      </c>
      <c r="AC16" s="157">
        <v>0</v>
      </c>
      <c r="AD16" s="1">
        <v>0</v>
      </c>
      <c r="AE16" s="1">
        <v>0</v>
      </c>
      <c r="AF16" s="1">
        <v>0</v>
      </c>
      <c r="AG16" s="1">
        <v>0</v>
      </c>
      <c r="AH16" s="1">
        <v>0</v>
      </c>
      <c r="AI16" s="1">
        <v>0</v>
      </c>
      <c r="AK16" s="1">
        <v>0</v>
      </c>
    </row>
    <row r="17" spans="1:37" ht="12.75" customHeight="1">
      <c r="A17" s="1" t="s">
        <v>31</v>
      </c>
      <c r="B17" s="1">
        <v>0</v>
      </c>
      <c r="C17" s="1">
        <v>0</v>
      </c>
      <c r="D17" s="1">
        <f>0+0</f>
        <v>0</v>
      </c>
      <c r="I17" s="1">
        <v>0</v>
      </c>
      <c r="J17" s="157">
        <v>0</v>
      </c>
      <c r="K17" s="1">
        <v>0</v>
      </c>
      <c r="L17" s="1">
        <v>0</v>
      </c>
      <c r="M17" s="1">
        <v>0</v>
      </c>
      <c r="N17" s="1">
        <v>0</v>
      </c>
      <c r="O17" s="1">
        <v>0</v>
      </c>
      <c r="R17" s="20">
        <v>0</v>
      </c>
      <c r="S17" s="1">
        <v>0</v>
      </c>
      <c r="T17" s="51">
        <v>0</v>
      </c>
      <c r="U17" s="1">
        <v>0</v>
      </c>
      <c r="V17" s="1">
        <v>0</v>
      </c>
      <c r="W17" s="157">
        <v>0</v>
      </c>
      <c r="X17" s="157">
        <v>0</v>
      </c>
      <c r="Y17" s="157">
        <v>5441.3230000000003</v>
      </c>
      <c r="Z17" s="157">
        <v>0</v>
      </c>
      <c r="AA17" s="157">
        <v>0</v>
      </c>
      <c r="AB17" s="157">
        <v>0</v>
      </c>
      <c r="AC17" s="157">
        <v>369</v>
      </c>
      <c r="AD17" s="1">
        <v>698.63800000000003</v>
      </c>
      <c r="AE17" s="1">
        <v>2424.0120000000002</v>
      </c>
      <c r="AF17" s="1">
        <v>2414.498</v>
      </c>
      <c r="AG17" s="1">
        <v>2275.85</v>
      </c>
      <c r="AH17" s="1">
        <v>2268.8110000000001</v>
      </c>
      <c r="AI17" s="1">
        <v>2171.33</v>
      </c>
      <c r="AK17" s="1">
        <v>2675.1089999999999</v>
      </c>
    </row>
    <row r="18" spans="1:37" ht="12.75" customHeight="1">
      <c r="A18" s="1" t="s">
        <v>32</v>
      </c>
      <c r="B18" s="1">
        <v>3</v>
      </c>
      <c r="C18" s="1">
        <v>2</v>
      </c>
      <c r="D18" s="1">
        <f>2+0</f>
        <v>2</v>
      </c>
      <c r="I18" s="1">
        <v>0</v>
      </c>
      <c r="J18" s="157">
        <v>0</v>
      </c>
      <c r="L18" s="1">
        <v>0</v>
      </c>
      <c r="M18" s="1">
        <v>0</v>
      </c>
      <c r="N18" s="1">
        <v>0</v>
      </c>
      <c r="O18" s="1">
        <v>0</v>
      </c>
      <c r="R18" s="20">
        <v>0</v>
      </c>
      <c r="S18" s="1">
        <v>0</v>
      </c>
      <c r="T18" s="51">
        <v>312.16000000000003</v>
      </c>
      <c r="U18" s="1">
        <v>243.48</v>
      </c>
      <c r="V18" s="1">
        <v>218.06700000000001</v>
      </c>
      <c r="W18" s="157">
        <v>214.88900000000001</v>
      </c>
      <c r="X18" s="157">
        <v>338.53899999999999</v>
      </c>
      <c r="Y18" s="157">
        <v>315.07900000000001</v>
      </c>
      <c r="Z18" s="157">
        <v>233.67</v>
      </c>
      <c r="AA18" s="157">
        <v>209.65799999999999</v>
      </c>
      <c r="AB18" s="157">
        <v>434.39499999999998</v>
      </c>
      <c r="AC18" s="157">
        <v>238</v>
      </c>
      <c r="AD18" s="1">
        <v>313.125</v>
      </c>
      <c r="AE18" s="1">
        <v>294.58</v>
      </c>
      <c r="AF18" s="1">
        <v>376.875</v>
      </c>
      <c r="AG18" s="1">
        <v>393.32400000000001</v>
      </c>
      <c r="AH18" s="1">
        <v>407.77300000000002</v>
      </c>
      <c r="AI18" s="1">
        <v>404.75900000000001</v>
      </c>
      <c r="AK18" s="1">
        <v>332.14400000000001</v>
      </c>
    </row>
    <row r="19" spans="1:37" ht="12.75" customHeight="1">
      <c r="A19" s="1" t="s">
        <v>33</v>
      </c>
      <c r="B19" s="1">
        <v>0</v>
      </c>
      <c r="C19" s="1">
        <v>873</v>
      </c>
      <c r="D19" s="1">
        <f>0+37</f>
        <v>37</v>
      </c>
      <c r="I19" s="1">
        <v>1778.6969999999999</v>
      </c>
      <c r="J19" s="157">
        <v>50</v>
      </c>
      <c r="K19" s="1">
        <v>1867.4929999999999</v>
      </c>
      <c r="L19" s="1">
        <v>1934.58</v>
      </c>
      <c r="M19" s="1">
        <v>25</v>
      </c>
      <c r="N19" s="1">
        <v>2113.0329999999999</v>
      </c>
      <c r="O19" s="1">
        <v>2206.14014</v>
      </c>
      <c r="R19" s="27">
        <v>0</v>
      </c>
      <c r="S19" s="1">
        <v>3823.9360000000001</v>
      </c>
      <c r="T19" s="51">
        <v>3871.8490000000002</v>
      </c>
      <c r="U19" s="1">
        <v>3889.1559999999999</v>
      </c>
      <c r="V19" s="1">
        <v>0</v>
      </c>
      <c r="W19" s="157">
        <v>0</v>
      </c>
      <c r="X19" s="157">
        <v>4326.0889999999999</v>
      </c>
      <c r="Y19" s="157">
        <v>4749.1409999999996</v>
      </c>
      <c r="Z19" s="157">
        <v>5019.3580000000002</v>
      </c>
      <c r="AA19" s="157">
        <v>4971.4530000000004</v>
      </c>
      <c r="AB19" s="157">
        <v>5183.652</v>
      </c>
      <c r="AC19" s="157">
        <v>5327</v>
      </c>
      <c r="AD19" s="1">
        <v>5655.0860000000002</v>
      </c>
      <c r="AE19" s="1">
        <v>5683.81</v>
      </c>
      <c r="AF19" s="1">
        <v>5706.64</v>
      </c>
      <c r="AG19" s="1">
        <v>5974.4759999999997</v>
      </c>
      <c r="AH19" s="1">
        <v>6215.6629999999996</v>
      </c>
      <c r="AI19" s="1">
        <v>6253.665</v>
      </c>
      <c r="AK19" s="1">
        <v>0</v>
      </c>
    </row>
    <row r="20" spans="1:37" ht="12.75" customHeight="1">
      <c r="A20" s="1" t="s">
        <v>34</v>
      </c>
      <c r="B20" s="1">
        <v>0</v>
      </c>
      <c r="C20" s="1">
        <v>0</v>
      </c>
      <c r="D20" s="1">
        <f>0+0</f>
        <v>0</v>
      </c>
      <c r="I20" s="1">
        <v>26.927</v>
      </c>
      <c r="J20" s="157">
        <v>0</v>
      </c>
      <c r="K20" s="1">
        <v>0</v>
      </c>
      <c r="L20" s="1">
        <v>0</v>
      </c>
      <c r="M20" s="1">
        <v>0</v>
      </c>
      <c r="N20" s="1">
        <v>0</v>
      </c>
      <c r="O20" s="1">
        <v>0</v>
      </c>
      <c r="R20" s="20">
        <v>0</v>
      </c>
      <c r="S20" s="1">
        <v>0</v>
      </c>
      <c r="T20" s="51">
        <v>7256.16</v>
      </c>
      <c r="U20" s="1">
        <v>7692.1379999999999</v>
      </c>
      <c r="V20" s="1">
        <v>56135.807000000001</v>
      </c>
      <c r="W20" s="157">
        <v>60046.192000000003</v>
      </c>
      <c r="X20" s="157">
        <v>69563.937000000005</v>
      </c>
      <c r="Y20" s="157">
        <v>75837.752999999997</v>
      </c>
      <c r="Z20" s="157">
        <v>83465.335999999996</v>
      </c>
      <c r="AA20" s="157">
        <v>16480.317999999999</v>
      </c>
      <c r="AB20" s="157">
        <v>16787.201000000001</v>
      </c>
      <c r="AC20" s="157">
        <v>17049</v>
      </c>
      <c r="AD20" s="1">
        <v>17459.754000000001</v>
      </c>
      <c r="AE20" s="1">
        <v>17727.167000000001</v>
      </c>
      <c r="AF20" s="1">
        <v>0</v>
      </c>
      <c r="AG20" s="1">
        <v>18444.126</v>
      </c>
      <c r="AH20" s="1">
        <v>18618.665000000001</v>
      </c>
      <c r="AI20" s="1">
        <v>0</v>
      </c>
      <c r="AK20" s="1">
        <v>0</v>
      </c>
    </row>
    <row r="21" spans="1:37" ht="12.75" customHeight="1">
      <c r="A21" s="1" t="s">
        <v>35</v>
      </c>
      <c r="B21" s="1">
        <v>0</v>
      </c>
      <c r="D21" s="1">
        <f>0+0</f>
        <v>0</v>
      </c>
      <c r="I21" s="1">
        <v>0</v>
      </c>
      <c r="J21" s="157">
        <v>0</v>
      </c>
      <c r="K21" s="1">
        <v>0</v>
      </c>
      <c r="L21" s="1">
        <v>0</v>
      </c>
      <c r="M21" s="1">
        <v>0</v>
      </c>
      <c r="N21" s="1">
        <v>0</v>
      </c>
      <c r="O21" s="1">
        <v>0</v>
      </c>
      <c r="R21" s="20">
        <v>0</v>
      </c>
      <c r="S21" s="1">
        <v>0</v>
      </c>
      <c r="T21" s="51">
        <v>0</v>
      </c>
      <c r="U21" s="1">
        <v>0</v>
      </c>
      <c r="V21" s="1">
        <v>0</v>
      </c>
      <c r="W21" s="157">
        <v>0</v>
      </c>
      <c r="X21" s="157">
        <v>0</v>
      </c>
      <c r="Y21" s="157">
        <v>0</v>
      </c>
      <c r="Z21" s="157">
        <v>0</v>
      </c>
      <c r="AA21" s="157">
        <v>0</v>
      </c>
      <c r="AB21" s="157">
        <v>0</v>
      </c>
      <c r="AC21" s="157">
        <v>0</v>
      </c>
      <c r="AF21" s="1">
        <v>0</v>
      </c>
      <c r="AG21" s="1">
        <v>0</v>
      </c>
      <c r="AH21" s="1">
        <v>0</v>
      </c>
      <c r="AI21" s="1">
        <v>0</v>
      </c>
      <c r="AK21" s="1">
        <v>0</v>
      </c>
    </row>
    <row r="22" spans="1:37" ht="12.75" customHeight="1">
      <c r="A22" s="30" t="s">
        <v>36</v>
      </c>
      <c r="B22" s="30">
        <v>0</v>
      </c>
      <c r="C22" s="30">
        <v>0</v>
      </c>
      <c r="D22" s="30">
        <f>0+0</f>
        <v>0</v>
      </c>
      <c r="E22" s="30"/>
      <c r="F22" s="30"/>
      <c r="G22" s="30"/>
      <c r="H22" s="30"/>
      <c r="I22" s="30">
        <v>574.07799999999997</v>
      </c>
      <c r="J22" s="158">
        <v>676.43899999999996</v>
      </c>
      <c r="K22" s="30">
        <v>712.40700000000004</v>
      </c>
      <c r="L22" s="30">
        <v>615.202</v>
      </c>
      <c r="M22" s="30">
        <v>677.86699999999996</v>
      </c>
      <c r="N22" s="30">
        <v>627.41300000000001</v>
      </c>
      <c r="O22" s="30">
        <v>620.90200000000004</v>
      </c>
      <c r="P22" s="30"/>
      <c r="Q22" s="30"/>
      <c r="R22" s="30">
        <v>603.37300000000005</v>
      </c>
      <c r="S22" s="30">
        <v>503.39800000000002</v>
      </c>
      <c r="T22" s="68">
        <v>0</v>
      </c>
      <c r="U22" s="30">
        <v>0</v>
      </c>
      <c r="V22" s="30">
        <v>0</v>
      </c>
      <c r="W22" s="158">
        <v>0</v>
      </c>
      <c r="X22" s="158">
        <v>0</v>
      </c>
      <c r="Y22" s="158">
        <v>0</v>
      </c>
      <c r="Z22" s="158">
        <v>0</v>
      </c>
      <c r="AA22" s="158">
        <v>0</v>
      </c>
      <c r="AB22" s="158">
        <v>0</v>
      </c>
      <c r="AC22" s="158">
        <v>0</v>
      </c>
      <c r="AD22" s="30"/>
      <c r="AE22" s="30"/>
      <c r="AF22" s="30">
        <v>0</v>
      </c>
      <c r="AG22" s="30">
        <v>0</v>
      </c>
      <c r="AH22" s="30">
        <v>0</v>
      </c>
      <c r="AI22" s="30">
        <v>0</v>
      </c>
      <c r="AJ22" s="30"/>
      <c r="AK22" s="30">
        <v>0</v>
      </c>
    </row>
    <row r="23" spans="1:37" ht="12.75" customHeight="1">
      <c r="A23" s="6" t="s">
        <v>37</v>
      </c>
      <c r="J23" s="58">
        <f>SUM(J25:J37)</f>
        <v>5086.4560000000001</v>
      </c>
      <c r="M23" s="58">
        <f>SUM(M25:M37)</f>
        <v>6256.7020000000002</v>
      </c>
      <c r="O23" s="58">
        <f>SUM(O25:O37)</f>
        <v>6230.9298899999994</v>
      </c>
      <c r="R23" s="58">
        <f t="shared" ref="R23:AK23" si="12">SUM(R25:R37)</f>
        <v>9414.112000000001</v>
      </c>
      <c r="S23" s="58">
        <f t="shared" si="12"/>
        <v>7118.0390000000007</v>
      </c>
      <c r="T23" s="67">
        <f t="shared" si="12"/>
        <v>13473.001999999999</v>
      </c>
      <c r="U23" s="58">
        <f t="shared" si="12"/>
        <v>14097.880999999998</v>
      </c>
      <c r="V23" s="58">
        <f t="shared" si="12"/>
        <v>15443.197</v>
      </c>
      <c r="W23" s="58">
        <f t="shared" si="12"/>
        <v>18920.284</v>
      </c>
      <c r="X23" s="58">
        <f t="shared" si="12"/>
        <v>17303.507999999998</v>
      </c>
      <c r="Y23" s="58">
        <f t="shared" si="12"/>
        <v>22434.571</v>
      </c>
      <c r="Z23" s="58">
        <f t="shared" si="12"/>
        <v>22273.644</v>
      </c>
      <c r="AA23" s="58">
        <f t="shared" si="12"/>
        <v>5266.4570000000003</v>
      </c>
      <c r="AB23" s="58">
        <f t="shared" si="12"/>
        <v>6367.7470000000003</v>
      </c>
      <c r="AC23" s="58">
        <f t="shared" si="12"/>
        <v>7903</v>
      </c>
      <c r="AD23" s="58">
        <f t="shared" si="12"/>
        <v>8083.0029999999997</v>
      </c>
      <c r="AE23" s="58">
        <f t="shared" si="12"/>
        <v>9980.9419999999991</v>
      </c>
      <c r="AF23" s="58">
        <f t="shared" si="12"/>
        <v>9406.0680000000011</v>
      </c>
      <c r="AG23" s="58">
        <f t="shared" si="12"/>
        <v>9885.1880000000001</v>
      </c>
      <c r="AH23" s="58">
        <f t="shared" si="12"/>
        <v>86344.163</v>
      </c>
      <c r="AI23" s="58">
        <f t="shared" si="12"/>
        <v>160173.405</v>
      </c>
      <c r="AJ23" s="58">
        <f t="shared" si="12"/>
        <v>0</v>
      </c>
      <c r="AK23" s="58">
        <f t="shared" si="12"/>
        <v>168035.67800000001</v>
      </c>
    </row>
    <row r="24" spans="1:37" ht="12.75" customHeight="1">
      <c r="A24" s="6" t="s">
        <v>94</v>
      </c>
      <c r="T24" s="51"/>
      <c r="AA24" s="10">
        <v>0</v>
      </c>
      <c r="AF24" s="1">
        <v>0</v>
      </c>
      <c r="AG24" s="1">
        <f t="shared" ref="AG24:AG39" si="13">AF24/1000</f>
        <v>0</v>
      </c>
      <c r="AI24" s="1">
        <v>0</v>
      </c>
    </row>
    <row r="25" spans="1:37" ht="12.75" customHeight="1">
      <c r="A25" s="1" t="s">
        <v>38</v>
      </c>
      <c r="J25" s="157">
        <v>216.75399999999999</v>
      </c>
      <c r="M25" s="1">
        <v>34</v>
      </c>
      <c r="O25" s="1">
        <v>34</v>
      </c>
      <c r="R25" s="20">
        <v>60</v>
      </c>
      <c r="S25" s="1">
        <v>60</v>
      </c>
      <c r="T25" s="51">
        <v>60</v>
      </c>
      <c r="U25" s="1">
        <v>0</v>
      </c>
      <c r="V25" s="1">
        <v>0</v>
      </c>
      <c r="W25" s="157">
        <v>0</v>
      </c>
      <c r="X25" s="157">
        <v>0</v>
      </c>
      <c r="Y25" s="157">
        <v>0</v>
      </c>
      <c r="Z25" s="157">
        <v>0</v>
      </c>
      <c r="AA25" s="157">
        <v>0</v>
      </c>
      <c r="AB25" s="157">
        <v>0</v>
      </c>
      <c r="AC25" s="157">
        <v>0</v>
      </c>
      <c r="AE25" s="1">
        <v>0</v>
      </c>
      <c r="AF25" s="1">
        <v>0</v>
      </c>
      <c r="AG25" s="1">
        <v>0</v>
      </c>
      <c r="AI25" s="1">
        <v>0</v>
      </c>
      <c r="AK25" s="1">
        <v>800</v>
      </c>
    </row>
    <row r="26" spans="1:37" ht="12.75" customHeight="1">
      <c r="A26" s="1" t="s">
        <v>39</v>
      </c>
      <c r="J26" s="157">
        <v>0</v>
      </c>
      <c r="M26" s="1">
        <v>0</v>
      </c>
      <c r="O26" s="1">
        <v>0</v>
      </c>
      <c r="R26" s="20">
        <v>0</v>
      </c>
      <c r="S26" s="1">
        <v>0</v>
      </c>
      <c r="T26" s="51">
        <v>7850.8339999999998</v>
      </c>
      <c r="U26" s="1">
        <v>8519.9079999999994</v>
      </c>
      <c r="V26" s="1">
        <v>9564.1550000000007</v>
      </c>
      <c r="W26" s="157">
        <v>13475.254000000001</v>
      </c>
      <c r="X26" s="157">
        <v>11861.133</v>
      </c>
      <c r="Y26" s="157">
        <v>16912.965</v>
      </c>
      <c r="Z26" s="157">
        <v>16424.2</v>
      </c>
      <c r="AA26" s="157">
        <v>0</v>
      </c>
      <c r="AB26" s="157">
        <v>0</v>
      </c>
      <c r="AC26" s="157">
        <v>1141</v>
      </c>
      <c r="AD26" s="1">
        <v>1036</v>
      </c>
      <c r="AE26" s="1">
        <v>1155</v>
      </c>
      <c r="AF26" s="1">
        <v>1121</v>
      </c>
      <c r="AG26" s="1">
        <v>1027</v>
      </c>
      <c r="AH26" s="1">
        <v>972</v>
      </c>
      <c r="AI26" s="1">
        <v>1002</v>
      </c>
      <c r="AK26" s="1">
        <v>996</v>
      </c>
    </row>
    <row r="27" spans="1:37" ht="12.75" customHeight="1">
      <c r="A27" s="1" t="s">
        <v>40</v>
      </c>
      <c r="J27" s="157">
        <v>0</v>
      </c>
      <c r="M27" s="1">
        <v>19</v>
      </c>
      <c r="O27" s="1">
        <v>0</v>
      </c>
      <c r="R27" s="20">
        <v>0</v>
      </c>
      <c r="S27" s="1">
        <v>0</v>
      </c>
      <c r="T27" s="51">
        <v>0</v>
      </c>
      <c r="U27" s="1">
        <v>0</v>
      </c>
      <c r="V27" s="1">
        <v>0</v>
      </c>
      <c r="W27" s="157">
        <v>0</v>
      </c>
      <c r="X27" s="157">
        <v>0</v>
      </c>
      <c r="Y27" s="157">
        <v>0</v>
      </c>
      <c r="Z27" s="157">
        <v>0</v>
      </c>
      <c r="AA27" s="157">
        <v>0</v>
      </c>
      <c r="AB27" s="157">
        <v>0</v>
      </c>
      <c r="AC27" s="157">
        <v>0</v>
      </c>
      <c r="AD27" s="1">
        <v>0</v>
      </c>
      <c r="AE27" s="1">
        <v>0</v>
      </c>
      <c r="AF27" s="1">
        <v>0</v>
      </c>
      <c r="AG27" s="1">
        <v>0</v>
      </c>
      <c r="AH27" s="138">
        <v>26075.185000000001</v>
      </c>
      <c r="AI27" s="1">
        <v>0</v>
      </c>
      <c r="AK27" s="1">
        <v>0</v>
      </c>
    </row>
    <row r="28" spans="1:37" ht="12.75" customHeight="1">
      <c r="A28" s="1" t="s">
        <v>41</v>
      </c>
      <c r="J28" s="157">
        <v>0</v>
      </c>
      <c r="M28" s="1">
        <v>260</v>
      </c>
      <c r="O28" s="1">
        <v>267.92289</v>
      </c>
      <c r="R28" s="20">
        <v>0</v>
      </c>
      <c r="S28" s="1">
        <v>0</v>
      </c>
      <c r="T28" s="51">
        <v>0</v>
      </c>
      <c r="U28" s="1">
        <v>0</v>
      </c>
      <c r="V28" s="1">
        <v>0</v>
      </c>
      <c r="W28" s="157">
        <v>0</v>
      </c>
      <c r="X28" s="157">
        <v>0</v>
      </c>
      <c r="Y28" s="157">
        <v>0</v>
      </c>
      <c r="Z28" s="157">
        <v>0</v>
      </c>
      <c r="AA28" s="157">
        <v>0</v>
      </c>
      <c r="AB28" s="157">
        <v>0</v>
      </c>
      <c r="AC28" s="157">
        <v>0</v>
      </c>
      <c r="AD28" s="1">
        <v>0</v>
      </c>
      <c r="AE28" s="1">
        <v>0</v>
      </c>
      <c r="AF28" s="1">
        <v>0</v>
      </c>
      <c r="AG28" s="1">
        <v>0</v>
      </c>
      <c r="AH28" s="138">
        <v>48875.514000000003</v>
      </c>
      <c r="AI28" s="1">
        <v>44884.061999999998</v>
      </c>
      <c r="AK28" s="1">
        <v>47577.258999999998</v>
      </c>
    </row>
    <row r="29" spans="1:37" ht="12.75" customHeight="1">
      <c r="A29" s="1" t="s">
        <v>42</v>
      </c>
      <c r="J29" s="157">
        <v>0</v>
      </c>
      <c r="M29" s="1">
        <v>0</v>
      </c>
      <c r="O29" s="1">
        <v>0</v>
      </c>
      <c r="R29" s="20">
        <v>0</v>
      </c>
      <c r="S29" s="1">
        <v>0</v>
      </c>
      <c r="T29" s="51">
        <v>0</v>
      </c>
      <c r="U29" s="1">
        <v>0</v>
      </c>
      <c r="V29" s="1">
        <v>0</v>
      </c>
      <c r="W29" s="157">
        <v>0</v>
      </c>
      <c r="X29" s="157">
        <v>0</v>
      </c>
      <c r="Y29" s="157">
        <v>0</v>
      </c>
      <c r="Z29" s="157">
        <v>0</v>
      </c>
      <c r="AA29" s="157">
        <v>0</v>
      </c>
      <c r="AB29" s="157">
        <v>0</v>
      </c>
      <c r="AC29" s="157">
        <v>0</v>
      </c>
      <c r="AD29" s="1">
        <v>0</v>
      </c>
      <c r="AE29" s="1">
        <v>0</v>
      </c>
      <c r="AF29" s="1">
        <v>0</v>
      </c>
      <c r="AG29" s="1">
        <v>0</v>
      </c>
      <c r="AH29" s="1">
        <v>0</v>
      </c>
      <c r="AI29" s="1">
        <v>0</v>
      </c>
      <c r="AK29" s="1">
        <v>0</v>
      </c>
    </row>
    <row r="30" spans="1:37" ht="12.75" customHeight="1">
      <c r="A30" s="1" t="s">
        <v>43</v>
      </c>
      <c r="J30" s="157">
        <v>0</v>
      </c>
      <c r="M30" s="1">
        <v>0</v>
      </c>
      <c r="O30" s="1">
        <v>0</v>
      </c>
      <c r="R30" s="20">
        <v>0</v>
      </c>
      <c r="S30" s="1">
        <v>0</v>
      </c>
      <c r="T30" s="51">
        <v>0</v>
      </c>
      <c r="U30" s="1">
        <v>0</v>
      </c>
      <c r="V30" s="1">
        <v>0</v>
      </c>
      <c r="W30" s="157">
        <v>0</v>
      </c>
      <c r="X30" s="157">
        <v>0</v>
      </c>
      <c r="Y30" s="157">
        <v>0</v>
      </c>
      <c r="Z30" s="157">
        <v>0</v>
      </c>
      <c r="AA30" s="157">
        <v>0</v>
      </c>
      <c r="AB30" s="157">
        <v>0</v>
      </c>
      <c r="AC30" s="157">
        <v>0</v>
      </c>
      <c r="AD30" s="1">
        <v>0</v>
      </c>
      <c r="AE30" s="1">
        <v>0</v>
      </c>
      <c r="AF30" s="1">
        <v>0</v>
      </c>
      <c r="AG30" s="1">
        <v>0</v>
      </c>
      <c r="AH30" s="1">
        <v>0</v>
      </c>
      <c r="AI30" s="1">
        <v>0</v>
      </c>
      <c r="AK30" s="1">
        <v>0</v>
      </c>
    </row>
    <row r="31" spans="1:37" ht="12.75" customHeight="1">
      <c r="A31" s="1" t="s">
        <v>44</v>
      </c>
      <c r="J31" s="157">
        <v>0</v>
      </c>
      <c r="M31" s="1">
        <v>0</v>
      </c>
      <c r="O31" s="1">
        <v>0</v>
      </c>
      <c r="R31" s="27">
        <v>0</v>
      </c>
      <c r="S31" s="1">
        <v>0</v>
      </c>
      <c r="T31" s="51">
        <v>0</v>
      </c>
      <c r="U31" s="1">
        <v>0</v>
      </c>
      <c r="V31" s="1">
        <v>0</v>
      </c>
      <c r="W31" s="157">
        <v>0</v>
      </c>
      <c r="X31" s="157">
        <v>0</v>
      </c>
      <c r="Y31" s="157">
        <v>0</v>
      </c>
      <c r="Z31" s="157">
        <v>0</v>
      </c>
      <c r="AA31" s="157">
        <v>0</v>
      </c>
      <c r="AB31" s="157">
        <v>0</v>
      </c>
      <c r="AC31" s="157">
        <v>0</v>
      </c>
      <c r="AD31" s="1">
        <v>0</v>
      </c>
      <c r="AF31" s="1">
        <v>89.77</v>
      </c>
      <c r="AG31" s="1">
        <v>356.173</v>
      </c>
      <c r="AH31" s="1">
        <v>416.60199999999998</v>
      </c>
      <c r="AI31" s="1">
        <v>431.99799999999999</v>
      </c>
      <c r="AK31" s="1">
        <v>518.654</v>
      </c>
    </row>
    <row r="32" spans="1:37" ht="12.75" customHeight="1">
      <c r="A32" s="1" t="s">
        <v>45</v>
      </c>
      <c r="J32" s="157">
        <v>0</v>
      </c>
      <c r="M32" s="1">
        <v>0</v>
      </c>
      <c r="O32" s="1">
        <v>0</v>
      </c>
      <c r="R32" s="27">
        <v>0</v>
      </c>
      <c r="S32" s="1">
        <v>0</v>
      </c>
      <c r="T32" s="51">
        <v>0</v>
      </c>
      <c r="U32" s="1">
        <v>0</v>
      </c>
      <c r="V32" s="1">
        <v>0</v>
      </c>
      <c r="W32" s="157">
        <v>0</v>
      </c>
      <c r="X32" s="157">
        <v>0</v>
      </c>
      <c r="Y32" s="157">
        <v>0</v>
      </c>
      <c r="Z32" s="157">
        <v>0</v>
      </c>
      <c r="AA32" s="157">
        <v>0</v>
      </c>
      <c r="AB32" s="157">
        <v>0</v>
      </c>
      <c r="AC32" s="157">
        <v>0</v>
      </c>
      <c r="AD32" s="1">
        <v>0</v>
      </c>
      <c r="AF32" s="1">
        <v>0</v>
      </c>
      <c r="AG32" s="1">
        <v>0</v>
      </c>
      <c r="AH32" s="1">
        <v>0</v>
      </c>
      <c r="AI32" s="1">
        <v>0</v>
      </c>
      <c r="AK32" s="1">
        <v>0</v>
      </c>
    </row>
    <row r="33" spans="1:37" ht="12.75" customHeight="1">
      <c r="A33" s="1" t="s">
        <v>46</v>
      </c>
      <c r="J33" s="157">
        <v>1756.441</v>
      </c>
      <c r="M33" s="1">
        <v>2423.1770000000001</v>
      </c>
      <c r="O33" s="1">
        <v>1893.2629999999999</v>
      </c>
      <c r="R33" s="27">
        <v>4960.2120000000004</v>
      </c>
      <c r="S33" s="1">
        <v>2571.6579999999999</v>
      </c>
      <c r="T33" s="51">
        <v>517.79499999999996</v>
      </c>
      <c r="U33" s="1">
        <v>540.52300000000002</v>
      </c>
      <c r="V33" s="1">
        <v>769.95100000000002</v>
      </c>
      <c r="W33" s="157">
        <v>611.34500000000003</v>
      </c>
      <c r="X33" s="157">
        <v>0</v>
      </c>
      <c r="Y33" s="157">
        <v>0</v>
      </c>
      <c r="Z33" s="157">
        <v>0</v>
      </c>
      <c r="AA33" s="157">
        <v>0</v>
      </c>
      <c r="AB33" s="157">
        <v>0</v>
      </c>
      <c r="AC33" s="157">
        <v>0</v>
      </c>
      <c r="AD33" s="1">
        <v>0</v>
      </c>
      <c r="AE33" s="1">
        <v>1500</v>
      </c>
      <c r="AF33" s="1">
        <v>0</v>
      </c>
      <c r="AG33" s="1">
        <v>0</v>
      </c>
      <c r="AH33" s="1">
        <v>0</v>
      </c>
      <c r="AI33" s="138">
        <v>102906.69100000001</v>
      </c>
      <c r="AK33" s="1">
        <v>105794.58</v>
      </c>
    </row>
    <row r="34" spans="1:37" ht="12.75" customHeight="1">
      <c r="A34" s="1" t="s">
        <v>47</v>
      </c>
      <c r="J34" s="157">
        <v>3113.261</v>
      </c>
      <c r="M34" s="1">
        <v>3520.5250000000001</v>
      </c>
      <c r="O34" s="1">
        <v>4035.7440000000001</v>
      </c>
      <c r="R34" s="20">
        <v>4393.8999999999996</v>
      </c>
      <c r="S34" s="1">
        <v>4486.3810000000003</v>
      </c>
      <c r="T34" s="51">
        <v>5044.3729999999996</v>
      </c>
      <c r="U34" s="1">
        <v>5037.45</v>
      </c>
      <c r="V34" s="1">
        <v>5109.0910000000003</v>
      </c>
      <c r="W34" s="157">
        <v>4833.6850000000004</v>
      </c>
      <c r="X34" s="157">
        <v>5409.34</v>
      </c>
      <c r="Y34" s="157">
        <v>5521.6059999999998</v>
      </c>
      <c r="Z34" s="157">
        <v>5849.4440000000004</v>
      </c>
      <c r="AA34" s="157">
        <v>5266.4570000000003</v>
      </c>
      <c r="AB34" s="157">
        <v>6367.7470000000003</v>
      </c>
      <c r="AC34" s="157">
        <v>6762</v>
      </c>
      <c r="AD34" s="1">
        <v>7047.0029999999997</v>
      </c>
      <c r="AE34" s="1">
        <v>7325.942</v>
      </c>
      <c r="AF34" s="1">
        <v>8195.2980000000007</v>
      </c>
      <c r="AG34" s="1">
        <v>8502.0149999999994</v>
      </c>
      <c r="AH34" s="1">
        <v>10004.861999999999</v>
      </c>
      <c r="AI34" s="1">
        <v>10948.654</v>
      </c>
      <c r="AK34" s="1">
        <v>12349.184999999999</v>
      </c>
    </row>
    <row r="35" spans="1:37" ht="12.75" customHeight="1">
      <c r="A35" s="1" t="s">
        <v>48</v>
      </c>
      <c r="J35" s="157">
        <v>0</v>
      </c>
      <c r="M35" s="1">
        <v>0</v>
      </c>
      <c r="O35" s="1">
        <v>0</v>
      </c>
      <c r="R35" s="20">
        <v>0</v>
      </c>
      <c r="S35" s="1">
        <v>0</v>
      </c>
      <c r="T35" s="51">
        <v>0</v>
      </c>
      <c r="U35" s="1">
        <v>0</v>
      </c>
      <c r="V35" s="1">
        <v>0</v>
      </c>
      <c r="W35" s="157">
        <v>0</v>
      </c>
      <c r="X35" s="157">
        <v>0</v>
      </c>
      <c r="Y35" s="157">
        <v>0</v>
      </c>
      <c r="Z35" s="157">
        <v>0</v>
      </c>
      <c r="AA35" s="157">
        <v>0</v>
      </c>
      <c r="AB35" s="157">
        <v>0</v>
      </c>
      <c r="AC35" s="157">
        <v>0</v>
      </c>
      <c r="AF35" s="1">
        <v>0</v>
      </c>
      <c r="AG35" s="1">
        <v>0</v>
      </c>
      <c r="AI35" s="1">
        <v>0</v>
      </c>
      <c r="AK35" s="1">
        <v>0</v>
      </c>
    </row>
    <row r="36" spans="1:37" ht="12.75" customHeight="1">
      <c r="A36" s="1" t="s">
        <v>49</v>
      </c>
      <c r="J36" s="157">
        <v>0</v>
      </c>
      <c r="M36" s="1">
        <v>0</v>
      </c>
      <c r="O36" s="1">
        <v>0</v>
      </c>
      <c r="R36" s="20">
        <v>0</v>
      </c>
      <c r="S36" s="1">
        <v>0</v>
      </c>
      <c r="T36" s="51">
        <v>0</v>
      </c>
      <c r="U36" s="1">
        <v>0</v>
      </c>
      <c r="V36" s="1">
        <v>0</v>
      </c>
      <c r="W36" s="157">
        <v>0</v>
      </c>
      <c r="X36" s="157">
        <v>33.034999999999997</v>
      </c>
      <c r="Y36" s="157">
        <v>0</v>
      </c>
      <c r="Z36" s="157">
        <v>0</v>
      </c>
      <c r="AA36" s="157">
        <v>0</v>
      </c>
      <c r="AB36" s="157">
        <v>0</v>
      </c>
      <c r="AC36" s="157">
        <v>0</v>
      </c>
      <c r="AF36" s="1">
        <v>0</v>
      </c>
      <c r="AG36" s="1">
        <v>0</v>
      </c>
      <c r="AI36" s="1">
        <v>0</v>
      </c>
      <c r="AK36" s="1">
        <v>0</v>
      </c>
    </row>
    <row r="37" spans="1:37" ht="12.75" customHeight="1">
      <c r="A37" s="30" t="s">
        <v>50</v>
      </c>
      <c r="B37" s="30"/>
      <c r="C37" s="30"/>
      <c r="D37" s="30"/>
      <c r="E37" s="30"/>
      <c r="F37" s="30"/>
      <c r="G37" s="30"/>
      <c r="H37" s="30"/>
      <c r="I37" s="30"/>
      <c r="J37" s="158">
        <v>0</v>
      </c>
      <c r="K37" s="30"/>
      <c r="L37" s="30"/>
      <c r="M37" s="30">
        <v>0</v>
      </c>
      <c r="N37" s="30"/>
      <c r="O37" s="30">
        <v>0</v>
      </c>
      <c r="P37" s="30"/>
      <c r="Q37" s="30"/>
      <c r="R37" s="40">
        <v>0</v>
      </c>
      <c r="S37" s="30">
        <v>0</v>
      </c>
      <c r="T37" s="68">
        <v>0</v>
      </c>
      <c r="U37" s="30">
        <v>0</v>
      </c>
      <c r="V37" s="30">
        <v>0</v>
      </c>
      <c r="W37" s="158">
        <v>0</v>
      </c>
      <c r="X37" s="158">
        <v>0</v>
      </c>
      <c r="Y37" s="158">
        <v>0</v>
      </c>
      <c r="Z37" s="158">
        <v>0</v>
      </c>
      <c r="AA37" s="158">
        <v>0</v>
      </c>
      <c r="AB37" s="158">
        <v>0</v>
      </c>
      <c r="AC37" s="158">
        <v>0</v>
      </c>
      <c r="AD37" s="30"/>
      <c r="AE37" s="30"/>
      <c r="AF37" s="30">
        <v>0</v>
      </c>
      <c r="AG37" s="30">
        <v>0</v>
      </c>
      <c r="AH37" s="30"/>
      <c r="AI37" s="30">
        <v>0</v>
      </c>
      <c r="AJ37" s="30"/>
      <c r="AK37" s="30">
        <v>0</v>
      </c>
    </row>
    <row r="38" spans="1:37" ht="12.75" customHeight="1">
      <c r="A38" s="6" t="s">
        <v>51</v>
      </c>
      <c r="J38" s="58">
        <f>SUM(J40:J51)</f>
        <v>21369.254999999997</v>
      </c>
      <c r="M38" s="58">
        <f>SUM(M40:M51)</f>
        <v>39755.406000000003</v>
      </c>
      <c r="O38" s="58">
        <f>SUM(O40:O51)</f>
        <v>27508.368000000002</v>
      </c>
      <c r="R38" s="58">
        <f t="shared" ref="R38:AF38" si="14">SUM(R40:R51)</f>
        <v>46644.945999999996</v>
      </c>
      <c r="S38" s="58">
        <f t="shared" si="14"/>
        <v>46318.861000000004</v>
      </c>
      <c r="T38" s="67">
        <f t="shared" si="14"/>
        <v>31081.023000000001</v>
      </c>
      <c r="U38" s="58">
        <f t="shared" si="14"/>
        <v>32049.979000000003</v>
      </c>
      <c r="V38" s="58">
        <f t="shared" si="14"/>
        <v>28984.877000000004</v>
      </c>
      <c r="W38" s="58">
        <f t="shared" si="14"/>
        <v>33599.019</v>
      </c>
      <c r="X38" s="58">
        <f t="shared" si="14"/>
        <v>31462.928</v>
      </c>
      <c r="Y38" s="58">
        <f t="shared" si="14"/>
        <v>111981.899</v>
      </c>
      <c r="Z38" s="58">
        <f t="shared" si="14"/>
        <v>118553.898</v>
      </c>
      <c r="AA38" s="58">
        <f t="shared" si="14"/>
        <v>124151.28099999999</v>
      </c>
      <c r="AB38" s="58">
        <f t="shared" si="14"/>
        <v>29896.52</v>
      </c>
      <c r="AC38" s="58">
        <f t="shared" si="14"/>
        <v>33279</v>
      </c>
      <c r="AD38" s="58">
        <f t="shared" si="14"/>
        <v>35703.555</v>
      </c>
      <c r="AE38" s="58">
        <f t="shared" si="14"/>
        <v>49746.817999999999</v>
      </c>
      <c r="AF38" s="58">
        <f t="shared" si="14"/>
        <v>51021.018000000004</v>
      </c>
      <c r="AG38" s="58">
        <f>SUM(AG40:AG51)</f>
        <v>55113.749000000003</v>
      </c>
      <c r="AH38" s="58">
        <f>SUM(AH40:AH51)</f>
        <v>55575.290999999997</v>
      </c>
      <c r="AI38" s="58">
        <f>SUM(AI40:AI51)</f>
        <v>53222.578000000001</v>
      </c>
      <c r="AJ38" s="58">
        <f t="shared" ref="AJ38:AK38" si="15">SUM(AJ40:AJ51)</f>
        <v>0</v>
      </c>
      <c r="AK38" s="58">
        <f t="shared" si="15"/>
        <v>58799.864999999998</v>
      </c>
    </row>
    <row r="39" spans="1:37" ht="12.75" customHeight="1">
      <c r="A39" s="6" t="s">
        <v>94</v>
      </c>
      <c r="T39" s="51"/>
      <c r="AA39" s="10">
        <v>0</v>
      </c>
      <c r="AF39" s="1">
        <v>0</v>
      </c>
      <c r="AG39" s="1">
        <f t="shared" si="13"/>
        <v>0</v>
      </c>
      <c r="AI39" s="1">
        <v>0</v>
      </c>
    </row>
    <row r="40" spans="1:37" ht="12.75" customHeight="1">
      <c r="A40" s="1" t="s">
        <v>52</v>
      </c>
      <c r="J40" s="157">
        <v>0</v>
      </c>
      <c r="M40" s="1">
        <v>0</v>
      </c>
      <c r="O40" s="1">
        <v>0</v>
      </c>
      <c r="R40" s="20">
        <v>0</v>
      </c>
      <c r="S40" s="1">
        <v>0</v>
      </c>
      <c r="T40" s="51">
        <v>0</v>
      </c>
      <c r="U40" s="1">
        <v>0</v>
      </c>
      <c r="V40" s="1">
        <v>0</v>
      </c>
      <c r="W40" s="157">
        <v>0</v>
      </c>
      <c r="X40" s="157">
        <v>0</v>
      </c>
      <c r="Y40" s="157">
        <v>0</v>
      </c>
      <c r="Z40" s="157">
        <v>0</v>
      </c>
      <c r="AA40" s="157">
        <v>0</v>
      </c>
      <c r="AB40" s="157">
        <v>0</v>
      </c>
      <c r="AC40" s="157">
        <v>0</v>
      </c>
      <c r="AF40" s="1">
        <v>0</v>
      </c>
      <c r="AG40" s="1">
        <v>0</v>
      </c>
      <c r="AI40" s="1">
        <v>0</v>
      </c>
      <c r="AK40" s="1">
        <v>0</v>
      </c>
    </row>
    <row r="41" spans="1:37" ht="12.75" customHeight="1">
      <c r="A41" s="1" t="s">
        <v>53</v>
      </c>
      <c r="J41" s="157">
        <v>1687.2139999999999</v>
      </c>
      <c r="M41" s="1">
        <v>2382.3490000000002</v>
      </c>
      <c r="O41" s="1">
        <v>3408.0030000000002</v>
      </c>
      <c r="R41" s="20">
        <v>6419.8819999999996</v>
      </c>
      <c r="S41" s="1">
        <v>6190.402</v>
      </c>
      <c r="T41" s="51">
        <v>6402.6369999999997</v>
      </c>
      <c r="U41" s="1">
        <v>6538.8919999999998</v>
      </c>
      <c r="V41" s="1">
        <v>6600.0230000000001</v>
      </c>
      <c r="W41" s="157">
        <v>6992.1180000000004</v>
      </c>
      <c r="X41" s="157">
        <v>7378.71</v>
      </c>
      <c r="Y41" s="157">
        <v>7460.3509999999997</v>
      </c>
      <c r="Z41" s="157">
        <v>7861.8190000000004</v>
      </c>
      <c r="AA41" s="157">
        <v>9486.2890000000007</v>
      </c>
      <c r="AB41" s="157">
        <v>6931.9589999999998</v>
      </c>
      <c r="AC41" s="157">
        <v>7951</v>
      </c>
      <c r="AD41" s="1">
        <v>9011.67</v>
      </c>
      <c r="AE41" s="1">
        <v>8241.4580000000005</v>
      </c>
      <c r="AF41" s="1">
        <v>7760.4679999999998</v>
      </c>
      <c r="AG41" s="1">
        <v>8282.7939999999999</v>
      </c>
      <c r="AH41" s="1">
        <v>8501.4889999999996</v>
      </c>
      <c r="AI41" s="1">
        <v>4514.0190000000002</v>
      </c>
      <c r="AK41" s="1">
        <v>9049.9660000000003</v>
      </c>
    </row>
    <row r="42" spans="1:37" ht="12.75" customHeight="1">
      <c r="A42" s="1" t="s">
        <v>54</v>
      </c>
      <c r="J42" s="157">
        <v>0</v>
      </c>
      <c r="M42" s="1">
        <v>0</v>
      </c>
      <c r="O42" s="1">
        <v>0</v>
      </c>
      <c r="R42" s="20">
        <v>0</v>
      </c>
      <c r="S42" s="1">
        <v>0</v>
      </c>
      <c r="T42" s="51">
        <v>0</v>
      </c>
      <c r="U42" s="1">
        <v>0</v>
      </c>
      <c r="V42" s="1">
        <v>0</v>
      </c>
      <c r="W42" s="157">
        <v>0</v>
      </c>
      <c r="X42" s="157">
        <v>0</v>
      </c>
      <c r="Y42" s="157">
        <v>0</v>
      </c>
      <c r="Z42" s="157">
        <v>0</v>
      </c>
      <c r="AA42" s="157">
        <v>0</v>
      </c>
      <c r="AB42" s="157">
        <v>0</v>
      </c>
      <c r="AC42" s="157">
        <v>0</v>
      </c>
      <c r="AD42" s="1">
        <v>0</v>
      </c>
      <c r="AE42" s="1">
        <v>0</v>
      </c>
      <c r="AF42" s="1">
        <v>0</v>
      </c>
      <c r="AG42" s="1">
        <v>0</v>
      </c>
      <c r="AH42" s="1">
        <v>0</v>
      </c>
      <c r="AI42" s="1">
        <v>0</v>
      </c>
      <c r="AK42" s="1">
        <v>0</v>
      </c>
    </row>
    <row r="43" spans="1:37" ht="12.75" customHeight="1">
      <c r="A43" s="1" t="s">
        <v>55</v>
      </c>
      <c r="J43" s="157">
        <v>8099.3329999999996</v>
      </c>
      <c r="M43" s="1">
        <v>8389.3549999999996</v>
      </c>
      <c r="O43" s="1">
        <v>9451.0139999999992</v>
      </c>
      <c r="R43" s="20">
        <v>22387.447</v>
      </c>
      <c r="S43" s="1">
        <v>25437.9</v>
      </c>
      <c r="T43" s="51">
        <v>24423.859</v>
      </c>
      <c r="U43" s="1">
        <v>25348.258000000002</v>
      </c>
      <c r="V43" s="1">
        <v>22364.542000000001</v>
      </c>
      <c r="W43" s="157">
        <v>24873.672999999999</v>
      </c>
      <c r="X43" s="157">
        <v>22278.335999999999</v>
      </c>
      <c r="Y43" s="157">
        <v>22551.192999999999</v>
      </c>
      <c r="Z43" s="157">
        <v>23961.023000000001</v>
      </c>
      <c r="AA43" s="157">
        <v>22931.294999999998</v>
      </c>
      <c r="AB43" s="157">
        <v>22779.75</v>
      </c>
      <c r="AC43" s="157">
        <v>22869</v>
      </c>
      <c r="AD43" s="1">
        <v>24006.062000000002</v>
      </c>
      <c r="AE43" s="1">
        <v>38480.669000000002</v>
      </c>
      <c r="AF43" s="1">
        <v>40178.29</v>
      </c>
      <c r="AG43" s="1">
        <v>40949.023000000001</v>
      </c>
      <c r="AH43" s="1">
        <v>42112.536999999997</v>
      </c>
      <c r="AI43" s="1">
        <v>43284.656999999999</v>
      </c>
      <c r="AK43" s="1">
        <v>44059.055</v>
      </c>
    </row>
    <row r="44" spans="1:37" ht="12.75" customHeight="1">
      <c r="A44" s="1" t="s">
        <v>56</v>
      </c>
      <c r="J44" s="157">
        <v>0</v>
      </c>
      <c r="M44" s="1">
        <v>0</v>
      </c>
      <c r="O44" s="1">
        <v>0</v>
      </c>
      <c r="R44" s="20">
        <v>0</v>
      </c>
      <c r="S44" s="1">
        <v>0</v>
      </c>
      <c r="T44" s="51">
        <v>0</v>
      </c>
      <c r="U44" s="1">
        <v>0</v>
      </c>
      <c r="V44" s="1">
        <v>0</v>
      </c>
      <c r="W44" s="157">
        <v>0</v>
      </c>
      <c r="X44" s="157">
        <v>0</v>
      </c>
      <c r="Y44" s="157">
        <v>0</v>
      </c>
      <c r="Z44" s="157">
        <v>0</v>
      </c>
      <c r="AA44" s="157">
        <v>0</v>
      </c>
      <c r="AB44" s="157">
        <v>0</v>
      </c>
      <c r="AC44" s="157">
        <v>0</v>
      </c>
      <c r="AD44" s="1">
        <v>0</v>
      </c>
      <c r="AE44" s="1">
        <v>0</v>
      </c>
      <c r="AF44" s="1">
        <v>0</v>
      </c>
      <c r="AG44" s="1">
        <v>0</v>
      </c>
      <c r="AH44" s="1">
        <v>0</v>
      </c>
      <c r="AI44" s="1">
        <v>0</v>
      </c>
      <c r="AK44" s="1">
        <v>0</v>
      </c>
    </row>
    <row r="45" spans="1:37" ht="12.75" customHeight="1">
      <c r="A45" s="1" t="s">
        <v>57</v>
      </c>
      <c r="J45" s="157">
        <v>0</v>
      </c>
      <c r="M45" s="1">
        <v>0</v>
      </c>
      <c r="O45" s="1">
        <v>0</v>
      </c>
      <c r="R45" s="20">
        <v>0</v>
      </c>
      <c r="S45" s="1">
        <v>0</v>
      </c>
      <c r="T45" s="51">
        <v>0</v>
      </c>
      <c r="U45" s="1">
        <v>0</v>
      </c>
      <c r="V45" s="1">
        <v>0</v>
      </c>
      <c r="W45" s="157">
        <v>0</v>
      </c>
      <c r="X45" s="157">
        <v>0</v>
      </c>
      <c r="Y45" s="157">
        <v>0</v>
      </c>
      <c r="Z45" s="157">
        <v>0</v>
      </c>
      <c r="AA45" s="157">
        <v>0</v>
      </c>
      <c r="AB45" s="157">
        <v>0</v>
      </c>
      <c r="AC45" s="157">
        <v>0</v>
      </c>
      <c r="AD45" s="1">
        <v>0</v>
      </c>
      <c r="AE45" s="1">
        <v>0</v>
      </c>
      <c r="AF45" s="1">
        <v>0</v>
      </c>
      <c r="AG45" s="1">
        <v>0</v>
      </c>
      <c r="AH45" s="1">
        <v>0</v>
      </c>
      <c r="AI45" s="1">
        <v>0</v>
      </c>
      <c r="AK45" s="1">
        <v>0</v>
      </c>
    </row>
    <row r="46" spans="1:37" ht="12.75" customHeight="1">
      <c r="A46" s="1" t="s">
        <v>58</v>
      </c>
      <c r="J46" s="157">
        <v>0</v>
      </c>
      <c r="M46" s="1">
        <v>0</v>
      </c>
      <c r="O46" s="1">
        <v>0</v>
      </c>
      <c r="R46" s="20">
        <v>0</v>
      </c>
      <c r="S46" s="1">
        <v>0</v>
      </c>
      <c r="T46" s="51">
        <v>0</v>
      </c>
      <c r="U46" s="1">
        <v>0</v>
      </c>
      <c r="V46" s="1">
        <v>0</v>
      </c>
      <c r="W46" s="157">
        <v>0</v>
      </c>
      <c r="X46" s="157">
        <v>0</v>
      </c>
      <c r="Y46" s="157">
        <v>0</v>
      </c>
      <c r="Z46" s="157">
        <v>0</v>
      </c>
      <c r="AA46" s="157">
        <v>0</v>
      </c>
      <c r="AB46" s="157">
        <v>0</v>
      </c>
      <c r="AC46" s="157">
        <v>0</v>
      </c>
      <c r="AD46" s="1">
        <v>0</v>
      </c>
      <c r="AE46" s="1">
        <v>0</v>
      </c>
      <c r="AF46" s="1">
        <v>0</v>
      </c>
      <c r="AG46" s="1">
        <v>0</v>
      </c>
      <c r="AH46" s="1">
        <v>0</v>
      </c>
      <c r="AI46" s="1">
        <v>0</v>
      </c>
      <c r="AK46" s="1">
        <v>0</v>
      </c>
    </row>
    <row r="47" spans="1:37" ht="12.75" customHeight="1">
      <c r="A47" s="1" t="s">
        <v>59</v>
      </c>
      <c r="J47" s="157">
        <v>20.312000000000001</v>
      </c>
      <c r="M47" s="1">
        <v>20.312000000000001</v>
      </c>
      <c r="O47" s="1">
        <v>20.312000000000001</v>
      </c>
      <c r="R47" s="27">
        <v>20.43</v>
      </c>
      <c r="S47" s="1">
        <v>20.312000000000001</v>
      </c>
      <c r="T47" s="51">
        <v>20.312000000000001</v>
      </c>
      <c r="U47" s="1">
        <v>20.312000000000001</v>
      </c>
      <c r="V47" s="1">
        <v>20.312000000000001</v>
      </c>
      <c r="W47" s="157">
        <v>20.312000000000001</v>
      </c>
      <c r="X47" s="157">
        <v>20.312000000000001</v>
      </c>
      <c r="Y47" s="157">
        <v>20.312000000000001</v>
      </c>
      <c r="Z47" s="157">
        <v>0</v>
      </c>
      <c r="AA47" s="157">
        <v>0</v>
      </c>
      <c r="AB47" s="157">
        <v>0</v>
      </c>
      <c r="AC47" s="157">
        <v>0</v>
      </c>
      <c r="AD47" s="1">
        <v>0</v>
      </c>
      <c r="AE47" s="1">
        <v>0</v>
      </c>
      <c r="AF47" s="1">
        <v>0</v>
      </c>
      <c r="AG47" s="1">
        <v>0</v>
      </c>
      <c r="AH47" s="1">
        <v>0</v>
      </c>
      <c r="AI47" s="1">
        <v>0</v>
      </c>
      <c r="AK47" s="1">
        <v>0</v>
      </c>
    </row>
    <row r="48" spans="1:37" ht="12.75" customHeight="1">
      <c r="A48" s="1" t="s">
        <v>60</v>
      </c>
      <c r="J48" s="157">
        <v>0</v>
      </c>
      <c r="M48" s="1">
        <v>0</v>
      </c>
      <c r="O48" s="1">
        <v>0</v>
      </c>
      <c r="R48" s="20">
        <v>0</v>
      </c>
      <c r="S48" s="1">
        <v>0</v>
      </c>
      <c r="T48" s="51">
        <v>0</v>
      </c>
      <c r="U48" s="1">
        <v>0</v>
      </c>
      <c r="V48" s="1">
        <v>0</v>
      </c>
      <c r="W48" s="157">
        <v>1712.9159999999999</v>
      </c>
      <c r="X48" s="157">
        <v>1785.57</v>
      </c>
      <c r="Y48" s="157">
        <v>1959.3030000000001</v>
      </c>
      <c r="Z48" s="157">
        <v>2082.5639999999999</v>
      </c>
      <c r="AA48" s="157">
        <v>2130.5659999999998</v>
      </c>
      <c r="AB48" s="157">
        <v>184.81100000000001</v>
      </c>
      <c r="AC48" s="157">
        <v>2459</v>
      </c>
      <c r="AD48" s="1">
        <v>2685.8229999999999</v>
      </c>
      <c r="AE48" s="1">
        <v>3024.6909999999998</v>
      </c>
      <c r="AF48" s="1">
        <v>3082.26</v>
      </c>
      <c r="AG48" s="1">
        <v>5881.9319999999998</v>
      </c>
      <c r="AH48" s="1">
        <v>4961.2650000000003</v>
      </c>
      <c r="AI48" s="1">
        <v>5423.902</v>
      </c>
      <c r="AK48" s="1">
        <v>5690.8440000000001</v>
      </c>
    </row>
    <row r="49" spans="1:37" ht="12.75" customHeight="1">
      <c r="A49" s="1" t="s">
        <v>61</v>
      </c>
      <c r="J49" s="157">
        <v>11562.396000000001</v>
      </c>
      <c r="M49" s="1">
        <v>28963.39</v>
      </c>
      <c r="O49" s="1">
        <v>14629.039000000001</v>
      </c>
      <c r="R49" s="20">
        <v>17817.187000000002</v>
      </c>
      <c r="S49" s="1">
        <v>14670.246999999999</v>
      </c>
      <c r="T49" s="51">
        <v>28.599</v>
      </c>
      <c r="U49" s="1">
        <v>0</v>
      </c>
      <c r="V49" s="1">
        <v>0</v>
      </c>
      <c r="W49" s="157">
        <v>0</v>
      </c>
      <c r="X49" s="157">
        <v>0</v>
      </c>
      <c r="Y49" s="157">
        <v>0</v>
      </c>
      <c r="Z49" s="157">
        <v>0</v>
      </c>
      <c r="AA49" s="157">
        <v>0</v>
      </c>
      <c r="AB49" s="157">
        <v>0</v>
      </c>
      <c r="AC49" s="157">
        <v>0</v>
      </c>
      <c r="AF49" s="1">
        <v>0</v>
      </c>
      <c r="AG49" s="1">
        <v>0</v>
      </c>
      <c r="AI49" s="1">
        <v>0</v>
      </c>
      <c r="AK49" s="1">
        <v>0</v>
      </c>
    </row>
    <row r="50" spans="1:37" ht="12.75" customHeight="1">
      <c r="A50" s="1" t="s">
        <v>62</v>
      </c>
      <c r="J50" s="157">
        <v>0</v>
      </c>
      <c r="M50" s="1">
        <v>0</v>
      </c>
      <c r="O50" s="1">
        <v>0</v>
      </c>
      <c r="R50" s="20">
        <v>0</v>
      </c>
      <c r="S50" s="1">
        <v>0</v>
      </c>
      <c r="T50" s="51">
        <v>205.61600000000001</v>
      </c>
      <c r="U50" s="1">
        <v>142.517</v>
      </c>
      <c r="V50" s="1">
        <v>0</v>
      </c>
      <c r="W50" s="157">
        <v>0</v>
      </c>
      <c r="X50" s="157">
        <v>0</v>
      </c>
      <c r="Y50" s="157">
        <v>0</v>
      </c>
      <c r="Z50" s="157">
        <v>0</v>
      </c>
      <c r="AA50" s="157">
        <v>0</v>
      </c>
      <c r="AB50" s="157">
        <v>0</v>
      </c>
      <c r="AC50" s="157">
        <v>0</v>
      </c>
      <c r="AF50" s="1">
        <v>0</v>
      </c>
      <c r="AG50" s="1">
        <v>0</v>
      </c>
      <c r="AI50" s="1">
        <v>0</v>
      </c>
      <c r="AK50" s="1">
        <v>0</v>
      </c>
    </row>
    <row r="51" spans="1:37" ht="12.75" customHeight="1">
      <c r="A51" s="30" t="s">
        <v>63</v>
      </c>
      <c r="B51" s="30"/>
      <c r="C51" s="30"/>
      <c r="D51" s="30"/>
      <c r="E51" s="30"/>
      <c r="F51" s="30"/>
      <c r="G51" s="30"/>
      <c r="H51" s="30"/>
      <c r="I51" s="30"/>
      <c r="J51" s="158">
        <v>0</v>
      </c>
      <c r="K51" s="30"/>
      <c r="L51" s="30"/>
      <c r="M51" s="30">
        <v>0</v>
      </c>
      <c r="N51" s="30"/>
      <c r="O51" s="30">
        <v>0</v>
      </c>
      <c r="P51" s="30"/>
      <c r="Q51" s="30"/>
      <c r="R51" s="40">
        <v>0</v>
      </c>
      <c r="S51" s="30">
        <v>0</v>
      </c>
      <c r="T51" s="68">
        <v>0</v>
      </c>
      <c r="U51" s="30">
        <v>0</v>
      </c>
      <c r="V51" s="30">
        <v>0</v>
      </c>
      <c r="W51" s="158">
        <v>0</v>
      </c>
      <c r="X51" s="158">
        <v>0</v>
      </c>
      <c r="Y51" s="158">
        <v>79990.740000000005</v>
      </c>
      <c r="Z51" s="158">
        <v>84648.491999999998</v>
      </c>
      <c r="AA51" s="158">
        <v>89603.130999999994</v>
      </c>
      <c r="AB51" s="158">
        <v>0</v>
      </c>
      <c r="AC51" s="158">
        <v>0</v>
      </c>
      <c r="AD51" s="30"/>
      <c r="AE51" s="30"/>
      <c r="AF51" s="30">
        <v>0</v>
      </c>
      <c r="AG51" s="30">
        <v>0</v>
      </c>
      <c r="AH51" s="30"/>
      <c r="AI51" s="30">
        <v>0</v>
      </c>
      <c r="AJ51" s="30"/>
      <c r="AK51" s="30">
        <v>0</v>
      </c>
    </row>
    <row r="52" spans="1:37" ht="12.75" customHeight="1">
      <c r="A52" s="6" t="s">
        <v>64</v>
      </c>
      <c r="J52" s="58">
        <f>SUM(J54:J62)</f>
        <v>70186.992000000013</v>
      </c>
      <c r="M52" s="58">
        <f>SUM(M54:M62)</f>
        <v>60028.622000000003</v>
      </c>
      <c r="O52" s="58">
        <f>SUM(O54:O62)</f>
        <v>68283.957999999999</v>
      </c>
      <c r="R52" s="58">
        <f t="shared" ref="R52:AK52" si="16">SUM(R54:R62)</f>
        <v>66447.404999999999</v>
      </c>
      <c r="S52" s="58">
        <f t="shared" si="16"/>
        <v>55795.75</v>
      </c>
      <c r="T52" s="67">
        <f t="shared" si="16"/>
        <v>60299.697</v>
      </c>
      <c r="U52" s="58">
        <f t="shared" si="16"/>
        <v>59189.77</v>
      </c>
      <c r="V52" s="58">
        <f t="shared" si="16"/>
        <v>63243.237000000001</v>
      </c>
      <c r="W52" s="58">
        <f t="shared" si="16"/>
        <v>64995.413</v>
      </c>
      <c r="X52" s="58">
        <f t="shared" si="16"/>
        <v>65720.748999999996</v>
      </c>
      <c r="Y52" s="58">
        <f t="shared" si="16"/>
        <v>74342.611000000004</v>
      </c>
      <c r="Z52" s="58">
        <f t="shared" si="16"/>
        <v>76226.566000000006</v>
      </c>
      <c r="AA52" s="58">
        <f t="shared" si="16"/>
        <v>84625.862999999998</v>
      </c>
      <c r="AB52" s="58">
        <f t="shared" si="16"/>
        <v>101494.356</v>
      </c>
      <c r="AC52" s="58">
        <f t="shared" si="16"/>
        <v>96968</v>
      </c>
      <c r="AD52" s="58">
        <f t="shared" si="16"/>
        <v>95077.361999999994</v>
      </c>
      <c r="AE52" s="58">
        <f t="shared" si="16"/>
        <v>101569.15300000001</v>
      </c>
      <c r="AF52" s="58">
        <f t="shared" si="16"/>
        <v>92434.656000000003</v>
      </c>
      <c r="AG52" s="58">
        <f t="shared" si="16"/>
        <v>92003.975000000006</v>
      </c>
      <c r="AH52" s="58">
        <f t="shared" si="16"/>
        <v>121757.89</v>
      </c>
      <c r="AI52" s="58">
        <f t="shared" si="16"/>
        <v>119018.446</v>
      </c>
      <c r="AJ52" s="58">
        <f t="shared" si="16"/>
        <v>0</v>
      </c>
      <c r="AK52" s="58">
        <f t="shared" si="16"/>
        <v>156210.09599999999</v>
      </c>
    </row>
    <row r="53" spans="1:37" ht="12.75" customHeight="1">
      <c r="A53" s="6" t="s">
        <v>94</v>
      </c>
      <c r="T53" s="51"/>
      <c r="AA53" s="10">
        <v>0</v>
      </c>
      <c r="AF53" s="1">
        <v>0</v>
      </c>
      <c r="AI53" s="1">
        <v>0</v>
      </c>
    </row>
    <row r="54" spans="1:37" ht="12.75" customHeight="1">
      <c r="A54" s="1" t="s">
        <v>65</v>
      </c>
      <c r="J54" s="157">
        <v>0</v>
      </c>
      <c r="M54" s="1">
        <v>0</v>
      </c>
      <c r="O54" s="1">
        <v>0</v>
      </c>
      <c r="R54" s="20">
        <v>0</v>
      </c>
      <c r="S54" s="1">
        <v>0</v>
      </c>
      <c r="T54" s="51">
        <v>0</v>
      </c>
      <c r="U54" s="1">
        <v>0</v>
      </c>
      <c r="V54" s="1">
        <v>0</v>
      </c>
      <c r="W54" s="157">
        <v>0</v>
      </c>
      <c r="X54" s="157">
        <v>0</v>
      </c>
      <c r="Y54" s="157">
        <v>0</v>
      </c>
      <c r="Z54" s="157">
        <v>0</v>
      </c>
      <c r="AA54" s="157">
        <v>0</v>
      </c>
      <c r="AB54" s="157">
        <v>0</v>
      </c>
      <c r="AC54" s="157">
        <v>0</v>
      </c>
      <c r="AF54" s="1">
        <v>0</v>
      </c>
      <c r="AG54" s="1">
        <v>0</v>
      </c>
      <c r="AI54" s="1">
        <v>0</v>
      </c>
      <c r="AK54" s="1">
        <v>0</v>
      </c>
    </row>
    <row r="55" spans="1:37" ht="12.75" customHeight="1">
      <c r="A55" s="1" t="s">
        <v>66</v>
      </c>
      <c r="J55" s="157">
        <v>0</v>
      </c>
      <c r="M55" s="1">
        <v>0</v>
      </c>
      <c r="O55" s="1">
        <v>0</v>
      </c>
      <c r="R55" s="20">
        <v>0</v>
      </c>
      <c r="S55" s="1">
        <v>0</v>
      </c>
      <c r="T55" s="51">
        <v>0</v>
      </c>
      <c r="U55" s="1">
        <v>0</v>
      </c>
      <c r="V55" s="1">
        <v>0</v>
      </c>
      <c r="W55" s="157">
        <v>0</v>
      </c>
      <c r="X55" s="157">
        <v>0</v>
      </c>
      <c r="Y55" s="157">
        <v>0</v>
      </c>
      <c r="Z55" s="157">
        <v>0</v>
      </c>
      <c r="AA55" s="157">
        <v>0</v>
      </c>
      <c r="AB55" s="157">
        <v>0</v>
      </c>
      <c r="AC55" s="157">
        <v>0</v>
      </c>
      <c r="AF55" s="1">
        <v>0</v>
      </c>
      <c r="AG55" s="1">
        <v>0</v>
      </c>
      <c r="AI55" s="1">
        <v>0</v>
      </c>
      <c r="AK55" s="1">
        <v>0</v>
      </c>
    </row>
    <row r="56" spans="1:37" ht="12.75" customHeight="1">
      <c r="A56" s="1" t="s">
        <v>67</v>
      </c>
      <c r="J56" s="157">
        <v>0</v>
      </c>
      <c r="M56" s="1">
        <v>22</v>
      </c>
      <c r="O56" s="1">
        <v>0</v>
      </c>
      <c r="R56" s="20">
        <v>0</v>
      </c>
      <c r="S56" s="1">
        <v>0</v>
      </c>
      <c r="T56" s="51">
        <v>0</v>
      </c>
      <c r="U56" s="1">
        <v>0</v>
      </c>
      <c r="V56" s="1">
        <v>0</v>
      </c>
      <c r="W56" s="157">
        <v>0</v>
      </c>
      <c r="X56" s="157">
        <v>0</v>
      </c>
      <c r="Y56" s="157">
        <v>0</v>
      </c>
      <c r="Z56" s="157">
        <v>0</v>
      </c>
      <c r="AA56" s="157">
        <v>0</v>
      </c>
      <c r="AB56" s="157">
        <v>0</v>
      </c>
      <c r="AC56" s="157">
        <v>0</v>
      </c>
      <c r="AF56" s="1">
        <v>0</v>
      </c>
      <c r="AG56" s="1">
        <v>0</v>
      </c>
      <c r="AI56" s="1">
        <v>0</v>
      </c>
      <c r="AK56" s="1">
        <v>0</v>
      </c>
    </row>
    <row r="57" spans="1:37" ht="12.75" customHeight="1">
      <c r="A57" s="1" t="s">
        <v>68</v>
      </c>
      <c r="J57" s="157">
        <v>0</v>
      </c>
      <c r="M57" s="1">
        <v>0</v>
      </c>
      <c r="O57" s="1">
        <v>0</v>
      </c>
      <c r="R57" s="27">
        <v>0</v>
      </c>
      <c r="S57" s="1">
        <v>0</v>
      </c>
      <c r="T57" s="51">
        <v>0</v>
      </c>
      <c r="U57" s="1">
        <v>0</v>
      </c>
      <c r="V57" s="1">
        <v>0</v>
      </c>
      <c r="W57" s="157">
        <v>0</v>
      </c>
      <c r="X57" s="157">
        <v>0</v>
      </c>
      <c r="Y57" s="157">
        <v>0</v>
      </c>
      <c r="Z57" s="157">
        <v>0</v>
      </c>
      <c r="AA57" s="157">
        <v>0</v>
      </c>
      <c r="AB57" s="157">
        <v>0</v>
      </c>
      <c r="AC57" s="157">
        <v>0</v>
      </c>
      <c r="AF57" s="1">
        <v>0</v>
      </c>
      <c r="AG57" s="1">
        <v>0</v>
      </c>
      <c r="AI57" s="1">
        <v>0</v>
      </c>
      <c r="AK57" s="1">
        <v>0</v>
      </c>
    </row>
    <row r="58" spans="1:37" ht="12.75" customHeight="1">
      <c r="A58" s="1" t="s">
        <v>69</v>
      </c>
      <c r="J58" s="157">
        <v>30</v>
      </c>
      <c r="M58" s="1">
        <v>30</v>
      </c>
      <c r="O58" s="1">
        <v>0</v>
      </c>
      <c r="R58" s="27">
        <v>0</v>
      </c>
      <c r="S58" s="1">
        <v>0</v>
      </c>
      <c r="T58" s="51">
        <v>0</v>
      </c>
      <c r="U58" s="1">
        <v>592.17999999999995</v>
      </c>
      <c r="V58" s="1">
        <v>607.71400000000006</v>
      </c>
      <c r="W58" s="157">
        <v>0</v>
      </c>
      <c r="X58" s="157">
        <v>0</v>
      </c>
      <c r="Y58" s="157">
        <v>0</v>
      </c>
      <c r="Z58" s="157">
        <v>0</v>
      </c>
      <c r="AA58" s="157">
        <v>0</v>
      </c>
      <c r="AB58" s="157">
        <v>0</v>
      </c>
      <c r="AC58" s="157">
        <v>0</v>
      </c>
      <c r="AF58" s="1">
        <v>0</v>
      </c>
      <c r="AG58" s="1">
        <v>0</v>
      </c>
      <c r="AI58" s="1">
        <v>0</v>
      </c>
      <c r="AK58" s="1">
        <v>0</v>
      </c>
    </row>
    <row r="59" spans="1:37" ht="12.75" customHeight="1">
      <c r="A59" s="1" t="s">
        <v>70</v>
      </c>
      <c r="J59" s="157">
        <v>69605.994000000006</v>
      </c>
      <c r="M59" s="1">
        <v>59862.622000000003</v>
      </c>
      <c r="O59" s="1">
        <v>68283.957999999999</v>
      </c>
      <c r="R59" s="27">
        <v>66447.404999999999</v>
      </c>
      <c r="S59" s="1">
        <v>55795.75</v>
      </c>
      <c r="T59" s="51">
        <v>60299.697</v>
      </c>
      <c r="U59" s="1">
        <v>58597.59</v>
      </c>
      <c r="V59" s="1">
        <v>62635.523000000001</v>
      </c>
      <c r="W59" s="157">
        <v>64995.413</v>
      </c>
      <c r="X59" s="157">
        <v>65720.748999999996</v>
      </c>
      <c r="Y59" s="157">
        <v>74342.611000000004</v>
      </c>
      <c r="Z59" s="157">
        <v>76226.566000000006</v>
      </c>
      <c r="AA59" s="157">
        <v>84625.862999999998</v>
      </c>
      <c r="AB59" s="157">
        <v>101494.356</v>
      </c>
      <c r="AC59" s="157">
        <v>96968</v>
      </c>
      <c r="AD59" s="1">
        <v>95077.361999999994</v>
      </c>
      <c r="AE59" s="1">
        <v>101569.15300000001</v>
      </c>
      <c r="AF59" s="1">
        <v>92434.656000000003</v>
      </c>
      <c r="AG59" s="1">
        <v>92003.975000000006</v>
      </c>
      <c r="AH59" s="1">
        <v>121757.89</v>
      </c>
      <c r="AI59" s="1">
        <v>119018.446</v>
      </c>
      <c r="AK59" s="1">
        <v>156210.09599999999</v>
      </c>
    </row>
    <row r="60" spans="1:37" ht="12.75" customHeight="1">
      <c r="A60" s="1" t="s">
        <v>71</v>
      </c>
      <c r="J60" s="157">
        <v>505.99799999999999</v>
      </c>
      <c r="M60" s="1">
        <v>0</v>
      </c>
      <c r="O60" s="1">
        <v>0</v>
      </c>
      <c r="R60" s="20">
        <v>0</v>
      </c>
      <c r="S60" s="1">
        <v>0</v>
      </c>
      <c r="T60" s="51">
        <v>0</v>
      </c>
      <c r="U60" s="1">
        <v>0</v>
      </c>
      <c r="V60" s="1">
        <v>0</v>
      </c>
      <c r="W60" s="157">
        <v>0</v>
      </c>
      <c r="X60" s="157">
        <v>0</v>
      </c>
      <c r="Y60" s="157">
        <v>0</v>
      </c>
      <c r="Z60" s="157">
        <v>0</v>
      </c>
      <c r="AA60" s="157">
        <v>0</v>
      </c>
      <c r="AB60" s="157">
        <v>0</v>
      </c>
      <c r="AC60" s="157">
        <v>0</v>
      </c>
      <c r="AF60" s="1">
        <v>0</v>
      </c>
      <c r="AG60" s="1">
        <v>0</v>
      </c>
      <c r="AI60" s="1">
        <v>0</v>
      </c>
      <c r="AK60" s="1">
        <v>0</v>
      </c>
    </row>
    <row r="61" spans="1:37" ht="12.75" customHeight="1">
      <c r="A61" s="1" t="s">
        <v>72</v>
      </c>
      <c r="J61" s="157">
        <v>0</v>
      </c>
      <c r="M61" s="1">
        <v>0</v>
      </c>
      <c r="O61" s="1">
        <v>0</v>
      </c>
      <c r="R61" s="20">
        <v>0</v>
      </c>
      <c r="S61" s="1">
        <v>0</v>
      </c>
      <c r="T61" s="51">
        <v>0</v>
      </c>
      <c r="U61" s="1">
        <v>0</v>
      </c>
      <c r="V61" s="1">
        <v>0</v>
      </c>
      <c r="W61" s="157">
        <v>0</v>
      </c>
      <c r="X61" s="157">
        <v>0</v>
      </c>
      <c r="Y61" s="157">
        <v>0</v>
      </c>
      <c r="Z61" s="157">
        <v>0</v>
      </c>
      <c r="AA61" s="157">
        <v>0</v>
      </c>
      <c r="AB61" s="157">
        <v>0</v>
      </c>
      <c r="AC61" s="157">
        <v>0</v>
      </c>
      <c r="AF61" s="1">
        <v>0</v>
      </c>
      <c r="AG61" s="1">
        <v>0</v>
      </c>
      <c r="AK61" s="1">
        <v>0</v>
      </c>
    </row>
    <row r="62" spans="1:37" ht="12.75" customHeight="1">
      <c r="A62" s="30" t="s">
        <v>73</v>
      </c>
      <c r="B62" s="30"/>
      <c r="C62" s="30"/>
      <c r="D62" s="30"/>
      <c r="E62" s="30"/>
      <c r="F62" s="30"/>
      <c r="G62" s="30"/>
      <c r="H62" s="30"/>
      <c r="I62" s="30"/>
      <c r="J62" s="158">
        <v>45</v>
      </c>
      <c r="K62" s="30"/>
      <c r="L62" s="30"/>
      <c r="M62" s="30">
        <v>114</v>
      </c>
      <c r="N62" s="30"/>
      <c r="O62" s="30">
        <v>0</v>
      </c>
      <c r="P62" s="30"/>
      <c r="Q62" s="30"/>
      <c r="R62" s="40">
        <v>0</v>
      </c>
      <c r="S62" s="30">
        <v>0</v>
      </c>
      <c r="T62" s="68">
        <v>0</v>
      </c>
      <c r="U62" s="30">
        <v>0</v>
      </c>
      <c r="V62" s="30">
        <v>0</v>
      </c>
      <c r="W62" s="158">
        <v>0</v>
      </c>
      <c r="X62" s="158">
        <v>0</v>
      </c>
      <c r="Y62" s="158">
        <v>0</v>
      </c>
      <c r="Z62" s="158">
        <v>0</v>
      </c>
      <c r="AA62" s="158">
        <v>0</v>
      </c>
      <c r="AB62" s="158">
        <v>0</v>
      </c>
      <c r="AC62" s="158">
        <v>0</v>
      </c>
      <c r="AD62" s="30"/>
      <c r="AE62" s="30"/>
      <c r="AF62" s="30">
        <v>0</v>
      </c>
      <c r="AG62" s="30">
        <v>0</v>
      </c>
      <c r="AH62" s="30"/>
      <c r="AI62" s="30"/>
      <c r="AJ62" s="30"/>
      <c r="AK62" s="30">
        <v>0</v>
      </c>
    </row>
    <row r="63" spans="1:37">
      <c r="A63" s="56" t="s">
        <v>74</v>
      </c>
      <c r="B63" s="53"/>
      <c r="C63" s="53"/>
      <c r="D63" s="53"/>
      <c r="E63" s="53"/>
      <c r="F63" s="53"/>
      <c r="G63" s="53"/>
      <c r="H63" s="53"/>
      <c r="I63" s="53"/>
      <c r="J63" s="159">
        <v>73495</v>
      </c>
      <c r="K63" s="53"/>
      <c r="L63" s="53"/>
      <c r="M63" s="53">
        <v>69337.120999999999</v>
      </c>
      <c r="N63" s="53"/>
      <c r="O63" s="53">
        <v>67422.107690000004</v>
      </c>
      <c r="P63" s="53"/>
      <c r="Q63" s="53"/>
      <c r="R63" s="54">
        <v>43258.574000000001</v>
      </c>
      <c r="S63" s="53">
        <v>46932.724999999999</v>
      </c>
      <c r="T63" s="55">
        <v>46067.845999999998</v>
      </c>
      <c r="U63" s="53">
        <v>50543.591999999997</v>
      </c>
      <c r="V63" s="53">
        <v>50861.262999999999</v>
      </c>
      <c r="W63" s="159">
        <v>51580.601999999999</v>
      </c>
      <c r="X63" s="159">
        <v>61266.493000000002</v>
      </c>
      <c r="Y63" s="159">
        <v>62635.553999999996</v>
      </c>
      <c r="Z63" s="159">
        <v>62769.786</v>
      </c>
      <c r="AA63" s="159">
        <v>62070</v>
      </c>
      <c r="AB63" s="159">
        <v>0</v>
      </c>
      <c r="AC63" s="159">
        <v>0</v>
      </c>
      <c r="AD63" s="30"/>
      <c r="AE63" s="30"/>
      <c r="AF63" s="30">
        <v>0</v>
      </c>
      <c r="AG63" s="30">
        <v>0</v>
      </c>
      <c r="AH63" s="30"/>
      <c r="AI63" s="30"/>
      <c r="AJ63" s="30"/>
      <c r="AK63" s="30">
        <v>0</v>
      </c>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
    <tabColor indexed="62"/>
  </sheetPr>
  <dimension ref="A1:HB92"/>
  <sheetViews>
    <sheetView showZeros="0" zoomScaleNormal="100" workbookViewId="0">
      <pane xSplit="1" ySplit="3" topLeftCell="Z4" activePane="bottomRight" state="frozen"/>
      <selection pane="topRight" activeCell="O44" sqref="O44"/>
      <selection pane="bottomLeft" activeCell="O44" sqref="O44"/>
      <selection pane="bottomRight" activeCell="AK7" sqref="AK7:AK22"/>
    </sheetView>
  </sheetViews>
  <sheetFormatPr defaultColWidth="9.7109375" defaultRowHeight="12.75"/>
  <cols>
    <col min="1" max="1" width="19.5703125" style="1" bestFit="1" customWidth="1"/>
    <col min="2" max="22" width="13.85546875" style="1" customWidth="1"/>
    <col min="23" max="28" width="13.85546875" style="10" customWidth="1"/>
    <col min="29" max="29" width="14.42578125" style="10" bestFit="1" customWidth="1"/>
    <col min="30" max="31" width="10.7109375" style="1" bestFit="1" customWidth="1"/>
    <col min="32" max="37" width="10.710937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142</v>
      </c>
      <c r="B2" s="11"/>
      <c r="C2" s="11"/>
      <c r="D2" s="11"/>
      <c r="E2" s="11"/>
      <c r="F2" s="11"/>
      <c r="G2" s="11"/>
      <c r="H2" s="11"/>
      <c r="I2" s="11"/>
      <c r="J2" s="11"/>
      <c r="K2" s="11"/>
      <c r="L2" s="11"/>
    </row>
    <row r="3" spans="1:39">
      <c r="B3" s="43">
        <v>1984</v>
      </c>
      <c r="C3" s="43">
        <v>1985</v>
      </c>
      <c r="D3" s="43" t="s">
        <v>143</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t="s">
        <v>144</v>
      </c>
      <c r="T3" s="50" t="s">
        <v>145</v>
      </c>
      <c r="U3" s="31" t="s">
        <v>146</v>
      </c>
      <c r="V3" s="31" t="s">
        <v>147</v>
      </c>
      <c r="W3" s="31" t="s">
        <v>148</v>
      </c>
      <c r="X3" s="31" t="s">
        <v>149</v>
      </c>
      <c r="Y3" s="31" t="s">
        <v>150</v>
      </c>
      <c r="Z3" s="31">
        <v>2008</v>
      </c>
      <c r="AA3" s="31" t="s">
        <v>151</v>
      </c>
      <c r="AB3" s="31" t="s">
        <v>152</v>
      </c>
      <c r="AC3" s="31" t="s">
        <v>153</v>
      </c>
      <c r="AD3" s="32">
        <v>2012</v>
      </c>
      <c r="AE3" s="32">
        <v>2013</v>
      </c>
      <c r="AF3" s="32">
        <v>2014</v>
      </c>
      <c r="AG3" s="32">
        <v>2015</v>
      </c>
      <c r="AH3" s="32">
        <v>2016</v>
      </c>
      <c r="AI3" s="32">
        <v>2017</v>
      </c>
      <c r="AJ3" s="131">
        <v>2018</v>
      </c>
      <c r="AK3" s="131">
        <v>2019</v>
      </c>
    </row>
    <row r="4" spans="1:39" ht="12.75" customHeight="1">
      <c r="A4" s="53" t="s">
        <v>19</v>
      </c>
      <c r="B4" s="30">
        <f>7236878+11565949</f>
        <v>18802827</v>
      </c>
      <c r="C4" s="30">
        <f>8068818+13092435</f>
        <v>21161253</v>
      </c>
      <c r="D4" s="30">
        <f>8695851+14064374</f>
        <v>22760225</v>
      </c>
      <c r="E4" s="53"/>
      <c r="F4" s="53"/>
      <c r="G4" s="53"/>
      <c r="H4" s="53"/>
      <c r="I4" s="53">
        <v>28711120.736000001</v>
      </c>
      <c r="J4" s="61">
        <f t="shared" ref="J4" si="0">+J5+J23+J38+J52+J63</f>
        <v>28225691.919</v>
      </c>
      <c r="K4" s="53">
        <v>29348295.965</v>
      </c>
      <c r="L4" s="53">
        <v>29818134.276999999</v>
      </c>
      <c r="M4" s="61">
        <f t="shared" ref="M4" si="1">+M5+M23+M38+M52+M63</f>
        <v>30375545.460999999</v>
      </c>
      <c r="N4" s="53">
        <v>31711041.640000001</v>
      </c>
      <c r="O4" s="61">
        <f t="shared" ref="O4" si="2">+O5+O23+O38+O52+O63</f>
        <v>33364112.565699995</v>
      </c>
      <c r="P4" s="53"/>
      <c r="Q4" s="53"/>
      <c r="R4" s="61">
        <f t="shared" ref="R4:AA4" si="3">+R5+R23+R38+R52+R63</f>
        <v>38474111.190000005</v>
      </c>
      <c r="S4" s="61">
        <f t="shared" si="3"/>
        <v>41070332.825999998</v>
      </c>
      <c r="T4" s="66">
        <f t="shared" si="3"/>
        <v>41803980.241000004</v>
      </c>
      <c r="U4" s="61">
        <f t="shared" si="3"/>
        <v>40854751.542000003</v>
      </c>
      <c r="V4" s="61">
        <f t="shared" si="3"/>
        <v>40300092.953999996</v>
      </c>
      <c r="W4" s="61">
        <f t="shared" si="3"/>
        <v>41465407.272</v>
      </c>
      <c r="X4" s="61">
        <f t="shared" si="3"/>
        <v>43587540.434</v>
      </c>
      <c r="Y4" s="61">
        <f t="shared" si="3"/>
        <v>46760334.475999996</v>
      </c>
      <c r="Z4" s="61">
        <f t="shared" si="3"/>
        <v>50601911.659999996</v>
      </c>
      <c r="AA4" s="61">
        <f t="shared" si="3"/>
        <v>43519253.829000004</v>
      </c>
      <c r="AB4" s="61">
        <f t="shared" ref="AB4:AC4" si="4">+AB5+AB23+AB38+AB52+AB63</f>
        <v>45283674.435999997</v>
      </c>
      <c r="AC4" s="61">
        <f t="shared" si="4"/>
        <v>45476933</v>
      </c>
      <c r="AD4" s="61">
        <f t="shared" ref="AD4:AE4" si="5">+AD5+AD23+AD38+AD52+AD63</f>
        <v>42468761.960000001</v>
      </c>
      <c r="AE4" s="61">
        <f t="shared" si="5"/>
        <v>40664314.947999991</v>
      </c>
      <c r="AF4" s="61">
        <f t="shared" ref="AF4" si="6">+AF5+AF23+AF38+AF52+AF63</f>
        <v>43639073.344999991</v>
      </c>
      <c r="AG4" s="61">
        <f t="shared" ref="AG4:AI4" si="7">+AG5+AG23+AG38+AG52+AG63</f>
        <v>45010330.327</v>
      </c>
      <c r="AH4" s="61">
        <f t="shared" si="7"/>
        <v>47939718.258000009</v>
      </c>
      <c r="AI4" s="61">
        <f t="shared" si="7"/>
        <v>49212747.862000003</v>
      </c>
      <c r="AJ4" s="61">
        <f t="shared" ref="AJ4:AK4" si="8">+AJ5+AJ23+AJ38+AJ52+AJ63</f>
        <v>0</v>
      </c>
      <c r="AK4" s="61">
        <f t="shared" si="8"/>
        <v>53177332.525999993</v>
      </c>
    </row>
    <row r="5" spans="1:39" ht="12.75" customHeight="1">
      <c r="A5" s="1" t="s">
        <v>20</v>
      </c>
      <c r="J5" s="58">
        <f t="shared" ref="J5" si="9">SUM(J7:J22)</f>
        <v>10080807.43</v>
      </c>
      <c r="M5" s="58">
        <f t="shared" ref="M5" si="10">SUM(M7:M22)</f>
        <v>11499402.641000001</v>
      </c>
      <c r="O5" s="58">
        <f t="shared" ref="O5" si="11">SUM(O7:O22)</f>
        <v>12517792.816129999</v>
      </c>
      <c r="R5" s="58">
        <f t="shared" ref="R5:AA5" si="12">SUM(R7:R22)</f>
        <v>14929898.603</v>
      </c>
      <c r="S5" s="58">
        <f t="shared" si="12"/>
        <v>15794091.416999999</v>
      </c>
      <c r="T5" s="67">
        <f t="shared" si="12"/>
        <v>16081616.788000001</v>
      </c>
      <c r="U5" s="58">
        <f t="shared" si="12"/>
        <v>16074663.681000002</v>
      </c>
      <c r="V5" s="58">
        <f t="shared" si="12"/>
        <v>16043484.072000001</v>
      </c>
      <c r="W5" s="58">
        <f t="shared" si="12"/>
        <v>16548949.23</v>
      </c>
      <c r="X5" s="58">
        <f t="shared" si="12"/>
        <v>17725735.899</v>
      </c>
      <c r="Y5" s="58">
        <f t="shared" si="12"/>
        <v>19331163.922000002</v>
      </c>
      <c r="Z5" s="58">
        <f t="shared" si="12"/>
        <v>21080251.370000001</v>
      </c>
      <c r="AA5" s="58">
        <f t="shared" si="12"/>
        <v>17447320.261999998</v>
      </c>
      <c r="AB5" s="58">
        <f t="shared" ref="AB5:AC5" si="13">SUM(AB7:AB22)</f>
        <v>18438720.952</v>
      </c>
      <c r="AC5" s="58">
        <f t="shared" si="13"/>
        <v>18575455</v>
      </c>
      <c r="AD5" s="58">
        <f t="shared" ref="AD5:AE5" si="14">SUM(AD7:AD22)</f>
        <v>17981529.541000001</v>
      </c>
      <c r="AE5" s="58">
        <f t="shared" si="14"/>
        <v>16630428.494999999</v>
      </c>
      <c r="AF5" s="58">
        <f t="shared" ref="AF5" si="15">SUM(AF7:AF22)</f>
        <v>17722854.592</v>
      </c>
      <c r="AG5" s="58">
        <f t="shared" ref="AG5:AI5" si="16">SUM(AG7:AG22)</f>
        <v>18164502.951999996</v>
      </c>
      <c r="AH5" s="58">
        <f t="shared" si="16"/>
        <v>20110473.408000004</v>
      </c>
      <c r="AI5" s="58">
        <f t="shared" si="16"/>
        <v>20557135.002000004</v>
      </c>
      <c r="AJ5" s="58">
        <f t="shared" ref="AJ5:AK5" si="17">SUM(AJ7:AJ22)</f>
        <v>0</v>
      </c>
      <c r="AK5" s="58">
        <f t="shared" si="17"/>
        <v>22063899.305</v>
      </c>
    </row>
    <row r="6" spans="1:39" ht="12.75" customHeight="1">
      <c r="A6" s="6" t="s">
        <v>94</v>
      </c>
      <c r="J6" s="157"/>
      <c r="R6" s="20"/>
      <c r="T6" s="51"/>
      <c r="AA6" s="10">
        <v>0</v>
      </c>
    </row>
    <row r="7" spans="1:39" ht="12.75" customHeight="1">
      <c r="A7" s="1" t="s">
        <v>21</v>
      </c>
      <c r="B7" s="1">
        <f>130332+226503</f>
        <v>356835</v>
      </c>
      <c r="C7" s="1">
        <f>164016+279113</f>
        <v>443129</v>
      </c>
      <c r="D7" s="1">
        <f>190943+321546</f>
        <v>512489</v>
      </c>
      <c r="I7" s="1">
        <v>566782.33799999999</v>
      </c>
      <c r="J7" s="157">
        <v>569567.83400000003</v>
      </c>
      <c r="K7" s="1">
        <v>588144.46699999995</v>
      </c>
      <c r="L7" s="1">
        <v>622218.04299999995</v>
      </c>
      <c r="M7" s="1">
        <v>705838.98899999994</v>
      </c>
      <c r="N7" s="1">
        <v>690293</v>
      </c>
      <c r="O7" s="1">
        <v>687868.26699999999</v>
      </c>
      <c r="R7" s="27">
        <v>780581.49</v>
      </c>
      <c r="S7" s="1">
        <v>771865.54299999995</v>
      </c>
      <c r="T7" s="51">
        <v>832486.75699999998</v>
      </c>
      <c r="U7" s="1">
        <v>855413.98699999996</v>
      </c>
      <c r="V7" s="1">
        <v>847080.84499999997</v>
      </c>
      <c r="W7" s="157">
        <v>886827.33900000004</v>
      </c>
      <c r="X7" s="157">
        <v>1016986.078</v>
      </c>
      <c r="Y7" s="157">
        <v>1205723.1599999999</v>
      </c>
      <c r="Z7" s="157">
        <v>1397239.0430000001</v>
      </c>
      <c r="AA7" s="157">
        <v>1107832.351</v>
      </c>
      <c r="AB7" s="157">
        <v>1007280.254</v>
      </c>
      <c r="AC7" s="157">
        <v>1001333</v>
      </c>
      <c r="AD7" s="1">
        <v>1049223.22</v>
      </c>
      <c r="AE7" s="1">
        <v>1013027.491</v>
      </c>
      <c r="AF7" s="1">
        <v>1032885.474</v>
      </c>
      <c r="AG7" s="1">
        <v>1039910.741</v>
      </c>
      <c r="AH7" s="1">
        <v>1053876.642</v>
      </c>
      <c r="AI7" s="1">
        <v>1085138.33</v>
      </c>
      <c r="AK7" s="1">
        <v>1176788.5090000001</v>
      </c>
    </row>
    <row r="8" spans="1:39" ht="12.75" customHeight="1">
      <c r="A8" s="1" t="s">
        <v>22</v>
      </c>
      <c r="B8" s="1">
        <f>61336+114854</f>
        <v>176190</v>
      </c>
      <c r="C8" s="1">
        <f>76955+144049</f>
        <v>221004</v>
      </c>
      <c r="D8" s="1">
        <f>79945+150333</f>
        <v>230278</v>
      </c>
      <c r="I8" s="1">
        <v>282045.03000000003</v>
      </c>
      <c r="J8" s="157">
        <v>307882.70500000002</v>
      </c>
      <c r="K8" s="1">
        <v>329747.12199999997</v>
      </c>
      <c r="L8" s="1">
        <v>333192.30599999998</v>
      </c>
      <c r="M8" s="1">
        <v>338382.65600000002</v>
      </c>
      <c r="N8" s="1">
        <v>361611.86900000001</v>
      </c>
      <c r="O8" s="1">
        <v>388970.30699999997</v>
      </c>
      <c r="R8" s="27">
        <v>461409.19199999998</v>
      </c>
      <c r="S8" s="1">
        <v>466403.94099999999</v>
      </c>
      <c r="T8" s="51">
        <v>485606.76799999998</v>
      </c>
      <c r="U8" s="1">
        <v>474364.29399999999</v>
      </c>
      <c r="V8" s="1">
        <v>459022.03</v>
      </c>
      <c r="W8" s="157">
        <v>472339.103</v>
      </c>
      <c r="X8" s="157">
        <v>496341.65500000003</v>
      </c>
      <c r="Y8" s="157">
        <v>510746.86200000002</v>
      </c>
      <c r="Z8" s="157">
        <v>553239.92799999996</v>
      </c>
      <c r="AA8" s="157">
        <v>524498.48699999996</v>
      </c>
      <c r="AB8" s="157">
        <v>579247.79299999995</v>
      </c>
      <c r="AC8" s="157">
        <v>575775</v>
      </c>
      <c r="AD8" s="1">
        <v>575939.46299999999</v>
      </c>
      <c r="AE8" s="1">
        <v>579543.85499999998</v>
      </c>
      <c r="AF8" s="1">
        <v>597372.92500000005</v>
      </c>
      <c r="AG8" s="1">
        <v>563025.71600000001</v>
      </c>
      <c r="AH8" s="1">
        <v>555490.87100000004</v>
      </c>
      <c r="AI8" s="1">
        <v>575439.12199999997</v>
      </c>
      <c r="AK8" s="1">
        <v>568648.46900000004</v>
      </c>
    </row>
    <row r="9" spans="1:39" ht="12.75" customHeight="1">
      <c r="A9" s="1" t="s">
        <v>23</v>
      </c>
      <c r="D9" s="1">
        <f>53813+13888</f>
        <v>67701</v>
      </c>
      <c r="I9" s="1">
        <v>84228.637000000002</v>
      </c>
      <c r="J9" s="157">
        <v>85781.913</v>
      </c>
      <c r="M9" s="1">
        <v>94401.072</v>
      </c>
      <c r="N9" s="1">
        <v>76894.100999999995</v>
      </c>
      <c r="O9" s="1">
        <v>80662.399999999994</v>
      </c>
      <c r="R9" s="27">
        <v>120213.838</v>
      </c>
      <c r="S9" s="38">
        <v>137114.429</v>
      </c>
      <c r="T9" s="52">
        <v>134079.70300000001</v>
      </c>
      <c r="U9" s="38">
        <v>133290.65700000001</v>
      </c>
      <c r="V9" s="38">
        <v>136966.20499999999</v>
      </c>
      <c r="W9" s="157">
        <v>148671.66200000001</v>
      </c>
      <c r="X9" s="157">
        <v>155391.46100000001</v>
      </c>
      <c r="Y9" s="157">
        <v>162614.26699999999</v>
      </c>
      <c r="Z9" s="157">
        <v>167158.465</v>
      </c>
      <c r="AA9" s="157">
        <v>163054.27799999999</v>
      </c>
      <c r="AB9" s="157">
        <v>155203.54199999999</v>
      </c>
      <c r="AC9" s="157">
        <v>150240</v>
      </c>
      <c r="AD9" s="1">
        <v>148993.90100000001</v>
      </c>
      <c r="AE9" s="1">
        <v>163394.677</v>
      </c>
      <c r="AF9" s="1">
        <v>158900.47200000001</v>
      </c>
      <c r="AG9" s="1">
        <v>154875.72399999999</v>
      </c>
      <c r="AH9" s="1">
        <v>157167.986</v>
      </c>
      <c r="AI9" s="1">
        <v>35967.358</v>
      </c>
      <c r="AK9" s="1">
        <v>158630.489</v>
      </c>
    </row>
    <row r="10" spans="1:39" ht="12.75" customHeight="1">
      <c r="A10" s="1" t="s">
        <v>24</v>
      </c>
      <c r="B10" s="1">
        <f>327305+278235</f>
        <v>605540</v>
      </c>
      <c r="C10" s="1">
        <f>358601+307478</f>
        <v>666079</v>
      </c>
      <c r="D10" s="1">
        <f>380647+335509</f>
        <v>716156</v>
      </c>
      <c r="I10" s="1">
        <v>1066371.791</v>
      </c>
      <c r="J10" s="157">
        <v>1013082.959</v>
      </c>
      <c r="K10" s="1">
        <v>1025568.735</v>
      </c>
      <c r="L10" s="1">
        <v>1089291.7679999999</v>
      </c>
      <c r="M10" s="1">
        <v>1173254.1240000001</v>
      </c>
      <c r="N10" s="1">
        <v>1249126.2860000001</v>
      </c>
      <c r="O10" s="1">
        <v>1325619.264</v>
      </c>
      <c r="R10" s="27">
        <v>1684101.9180000001</v>
      </c>
      <c r="S10" s="1">
        <v>1811741.639</v>
      </c>
      <c r="T10" s="51">
        <v>1736913.561</v>
      </c>
      <c r="U10" s="1">
        <v>2043522.5360000001</v>
      </c>
      <c r="V10" s="1">
        <v>2111332.6260000002</v>
      </c>
      <c r="W10" s="157">
        <v>2252957.1919999998</v>
      </c>
      <c r="X10" s="157">
        <v>2402576.2280000001</v>
      </c>
      <c r="Y10" s="157">
        <v>2682395.9879999999</v>
      </c>
      <c r="Z10" s="157">
        <v>2709760.1310000001</v>
      </c>
      <c r="AA10" s="157">
        <v>2339923.182</v>
      </c>
      <c r="AB10" s="157">
        <v>2105518.943</v>
      </c>
      <c r="AC10" s="157">
        <v>2205832</v>
      </c>
      <c r="AD10" s="1">
        <v>2007509.281</v>
      </c>
      <c r="AE10" s="1">
        <v>1708187.699</v>
      </c>
      <c r="AF10" s="1">
        <v>2248166.2540000002</v>
      </c>
      <c r="AG10" s="1">
        <v>2461742.3199999998</v>
      </c>
      <c r="AH10" s="1">
        <v>2514694.3259999999</v>
      </c>
      <c r="AI10" s="1">
        <v>2795346.7370000002</v>
      </c>
      <c r="AK10" s="1">
        <v>3116104.77</v>
      </c>
    </row>
    <row r="11" spans="1:39" ht="12.75" customHeight="1">
      <c r="A11" s="1" t="s">
        <v>25</v>
      </c>
      <c r="B11" s="1">
        <f>171403+321400</f>
        <v>492803</v>
      </c>
      <c r="C11" s="1">
        <f>188872+349784</f>
        <v>538656</v>
      </c>
      <c r="D11" s="1">
        <f>204338+378424</f>
        <v>582762</v>
      </c>
      <c r="I11" s="1">
        <v>759403.70799999998</v>
      </c>
      <c r="J11" s="157">
        <v>729613.99600000004</v>
      </c>
      <c r="K11" s="1">
        <v>790114.63500000001</v>
      </c>
      <c r="L11" s="1">
        <v>885700.32700000005</v>
      </c>
      <c r="M11" s="1">
        <v>970947.28700000001</v>
      </c>
      <c r="N11" s="1">
        <v>1045808.277</v>
      </c>
      <c r="O11" s="1">
        <v>1151394.632</v>
      </c>
      <c r="R11" s="27">
        <v>1343794.8189999999</v>
      </c>
      <c r="S11" s="1">
        <v>1433536.209</v>
      </c>
      <c r="T11" s="51">
        <v>1453990.798</v>
      </c>
      <c r="U11" s="1">
        <v>1406608.92</v>
      </c>
      <c r="V11" s="1">
        <v>1340812.9650000001</v>
      </c>
      <c r="W11" s="157">
        <v>1365537.3940000001</v>
      </c>
      <c r="X11" s="157">
        <v>1492218.905</v>
      </c>
      <c r="Y11" s="157">
        <v>1611543.1070000001</v>
      </c>
      <c r="Z11" s="157">
        <v>1788080.5419999999</v>
      </c>
      <c r="AA11" s="157">
        <v>1478946.202</v>
      </c>
      <c r="AB11" s="157">
        <v>1367631.1059999999</v>
      </c>
      <c r="AC11" s="157">
        <v>1468738</v>
      </c>
      <c r="AD11" s="1">
        <v>1373128.5120000001</v>
      </c>
      <c r="AE11" s="1">
        <v>1466301.4280000001</v>
      </c>
      <c r="AF11" s="1">
        <v>1567962.7720000001</v>
      </c>
      <c r="AG11" s="1">
        <v>1625696.578</v>
      </c>
      <c r="AH11" s="1">
        <v>1705440.622</v>
      </c>
      <c r="AI11" s="1">
        <v>1832048.2379999999</v>
      </c>
      <c r="AK11" s="1">
        <v>2127880.574</v>
      </c>
    </row>
    <row r="12" spans="1:39" ht="12.75" customHeight="1">
      <c r="A12" s="1" t="s">
        <v>26</v>
      </c>
      <c r="B12" s="1">
        <f>236513+151450</f>
        <v>387963</v>
      </c>
      <c r="C12" s="1">
        <f>242982+155597</f>
        <v>398579</v>
      </c>
      <c r="D12" s="1">
        <f>255008+164086</f>
        <v>419094</v>
      </c>
      <c r="I12" s="1">
        <v>559384.69999999995</v>
      </c>
      <c r="J12" s="157">
        <v>589420.978</v>
      </c>
      <c r="K12" s="1">
        <v>563568.152</v>
      </c>
      <c r="L12" s="1">
        <v>579922.45299999998</v>
      </c>
      <c r="M12" s="1">
        <v>598685.05000000005</v>
      </c>
      <c r="N12" s="1">
        <v>614145.03300000005</v>
      </c>
      <c r="O12" s="1">
        <v>650296.696</v>
      </c>
      <c r="R12" s="20">
        <v>714097.05599999998</v>
      </c>
      <c r="S12" s="1">
        <v>757418.05500000005</v>
      </c>
      <c r="T12" s="51">
        <v>751046.73</v>
      </c>
      <c r="U12" s="1">
        <v>749481.11</v>
      </c>
      <c r="V12" s="1">
        <v>750230.48800000001</v>
      </c>
      <c r="W12" s="157">
        <v>743479.12</v>
      </c>
      <c r="X12" s="157">
        <v>813163.35800000001</v>
      </c>
      <c r="Y12" s="157">
        <v>830473.24600000004</v>
      </c>
      <c r="Z12" s="157">
        <v>841219.47499999998</v>
      </c>
      <c r="AA12" s="157">
        <v>813232.23100000003</v>
      </c>
      <c r="AB12" s="157">
        <v>767415.02300000004</v>
      </c>
      <c r="AC12" s="157">
        <v>772106</v>
      </c>
      <c r="AD12" s="1">
        <v>769244.93400000001</v>
      </c>
      <c r="AE12" s="1">
        <v>728574.82700000005</v>
      </c>
      <c r="AF12" s="1">
        <v>731726.18</v>
      </c>
      <c r="AG12" s="1">
        <v>723630.20700000005</v>
      </c>
      <c r="AH12" s="1">
        <v>728424.26300000004</v>
      </c>
      <c r="AI12" s="1">
        <v>700491.99100000004</v>
      </c>
      <c r="AK12" s="1">
        <v>688885.9</v>
      </c>
    </row>
    <row r="13" spans="1:39" ht="12.75" customHeight="1">
      <c r="A13" s="1" t="s">
        <v>27</v>
      </c>
      <c r="B13" s="1">
        <f>137220+331165</f>
        <v>468385</v>
      </c>
      <c r="C13" s="1">
        <f>155358+361768</f>
        <v>517126</v>
      </c>
      <c r="D13" s="1">
        <f>155682+350160</f>
        <v>505842</v>
      </c>
      <c r="I13" s="1">
        <v>533198.05000000005</v>
      </c>
      <c r="J13" s="157">
        <v>544526.84</v>
      </c>
      <c r="K13" s="1">
        <v>537774.245</v>
      </c>
      <c r="L13" s="1">
        <v>531400.67799999996</v>
      </c>
      <c r="M13" s="1">
        <v>558762.44099999999</v>
      </c>
      <c r="N13" s="1">
        <v>550380.03200000001</v>
      </c>
      <c r="O13" s="1">
        <v>599878.61399999994</v>
      </c>
      <c r="R13" s="20">
        <v>688987.08400000003</v>
      </c>
      <c r="S13" s="1">
        <v>707566.924</v>
      </c>
      <c r="T13" s="51">
        <v>857981.15399999998</v>
      </c>
      <c r="U13" s="1">
        <v>882735.31099999999</v>
      </c>
      <c r="V13" s="1">
        <v>918833.18500000006</v>
      </c>
      <c r="W13" s="157">
        <v>917610.60600000003</v>
      </c>
      <c r="X13" s="157">
        <v>918893.446</v>
      </c>
      <c r="Y13" s="157">
        <v>1042637.051</v>
      </c>
      <c r="Z13" s="157">
        <v>1220683.858</v>
      </c>
      <c r="AA13" s="157">
        <v>981752.79399999999</v>
      </c>
      <c r="AB13" s="157">
        <v>855834.18099999998</v>
      </c>
      <c r="AC13" s="157">
        <v>846770</v>
      </c>
      <c r="AD13" s="1">
        <v>786651.36</v>
      </c>
      <c r="AE13" s="1">
        <v>736244.22400000005</v>
      </c>
      <c r="AF13" s="1">
        <v>672396.31499999994</v>
      </c>
      <c r="AG13" s="1">
        <v>640951.70200000005</v>
      </c>
      <c r="AH13" s="1">
        <v>692870.72600000002</v>
      </c>
      <c r="AI13" s="1">
        <v>651220.24600000004</v>
      </c>
      <c r="AK13" s="1">
        <v>658043.25399999996</v>
      </c>
    </row>
    <row r="14" spans="1:39" ht="12.75" customHeight="1">
      <c r="A14" s="1" t="s">
        <v>28</v>
      </c>
      <c r="B14" s="1">
        <v>340882</v>
      </c>
      <c r="C14" s="1">
        <f>0+366745</f>
        <v>366745</v>
      </c>
      <c r="D14" s="1">
        <v>405052</v>
      </c>
      <c r="I14" s="1">
        <v>622882.42599999998</v>
      </c>
      <c r="J14" s="157">
        <v>517026.245</v>
      </c>
      <c r="K14" s="1">
        <v>568020.15</v>
      </c>
      <c r="L14" s="1">
        <v>562624.50600000005</v>
      </c>
      <c r="M14" s="1">
        <v>570755.63699999999</v>
      </c>
      <c r="N14" s="1">
        <v>607258.27300000004</v>
      </c>
      <c r="O14" s="1">
        <v>625767.4719</v>
      </c>
      <c r="R14" s="20">
        <v>740504.25899999996</v>
      </c>
      <c r="S14" s="1">
        <v>819106.66399999999</v>
      </c>
      <c r="T14" s="51">
        <v>889478.79</v>
      </c>
      <c r="U14" s="1">
        <v>797603.79</v>
      </c>
      <c r="V14" s="1">
        <v>769480.94400000002</v>
      </c>
      <c r="W14" s="157">
        <v>780607.46900000004</v>
      </c>
      <c r="X14" s="157">
        <v>832944.45799999998</v>
      </c>
      <c r="Y14" s="157">
        <v>961766.61800000002</v>
      </c>
      <c r="Z14" s="157">
        <v>1032013.871</v>
      </c>
      <c r="AA14" s="157">
        <v>888208.00100000005</v>
      </c>
      <c r="AB14" s="157">
        <v>963550.60400000005</v>
      </c>
      <c r="AC14" s="157">
        <v>1096635</v>
      </c>
      <c r="AD14" s="1">
        <v>1119617.986</v>
      </c>
      <c r="AE14" s="1">
        <v>1124134.8929999999</v>
      </c>
      <c r="AF14" s="1">
        <v>1159050.23</v>
      </c>
      <c r="AG14" s="1">
        <v>1266339.2620000001</v>
      </c>
      <c r="AH14" s="1">
        <v>1322461.3529999999</v>
      </c>
      <c r="AI14" s="1">
        <v>1365873.1089999999</v>
      </c>
      <c r="AK14" s="1">
        <v>1460520.162</v>
      </c>
    </row>
    <row r="15" spans="1:39" ht="12.75" customHeight="1">
      <c r="A15" s="1" t="s">
        <v>29</v>
      </c>
      <c r="B15" s="1">
        <f>30011+203669</f>
        <v>233680</v>
      </c>
      <c r="C15" s="1">
        <f>31330+207229</f>
        <v>238559</v>
      </c>
      <c r="D15" s="1">
        <f>34046+225068</f>
        <v>259114</v>
      </c>
      <c r="I15" s="1">
        <v>288342.37300000002</v>
      </c>
      <c r="J15" s="157">
        <v>270039.54800000001</v>
      </c>
      <c r="K15" s="1">
        <v>297049.53700000001</v>
      </c>
      <c r="L15" s="1">
        <v>313515.89</v>
      </c>
      <c r="M15" s="1">
        <v>395177.04100000003</v>
      </c>
      <c r="N15" s="1">
        <v>421812.86800000002</v>
      </c>
      <c r="O15" s="1">
        <v>427166.90500000003</v>
      </c>
      <c r="R15" s="20">
        <v>565263.46</v>
      </c>
      <c r="S15" s="1">
        <v>537639.91599999997</v>
      </c>
      <c r="T15" s="51">
        <v>527937.56499999994</v>
      </c>
      <c r="U15" s="1">
        <v>524535.23499999999</v>
      </c>
      <c r="V15" s="1">
        <v>552783.84100000001</v>
      </c>
      <c r="W15" s="157">
        <v>561171.74800000002</v>
      </c>
      <c r="X15" s="157">
        <v>553956.13300000003</v>
      </c>
      <c r="Y15" s="157">
        <v>638142.09299999999</v>
      </c>
      <c r="Z15" s="157">
        <v>736796.26699999999</v>
      </c>
      <c r="AA15" s="157">
        <v>488979.36900000001</v>
      </c>
      <c r="AB15" s="157">
        <v>627093.40099999995</v>
      </c>
      <c r="AC15" s="157">
        <v>616195</v>
      </c>
      <c r="AD15" s="1">
        <v>666831.31499999994</v>
      </c>
      <c r="AE15" s="1">
        <v>627246.39099999995</v>
      </c>
      <c r="AF15" s="1">
        <v>655388.98499999999</v>
      </c>
      <c r="AG15" s="1">
        <v>684347.96799999999</v>
      </c>
      <c r="AH15" s="1">
        <v>699133.74300000002</v>
      </c>
      <c r="AI15" s="1">
        <v>663325.76500000001</v>
      </c>
      <c r="AK15" s="1">
        <v>617619.91700000002</v>
      </c>
    </row>
    <row r="16" spans="1:39" ht="12.75" customHeight="1">
      <c r="A16" s="1" t="s">
        <v>30</v>
      </c>
      <c r="B16" s="1">
        <f>156690+402304</f>
        <v>558994</v>
      </c>
      <c r="C16" s="1">
        <f>183065+467780</f>
        <v>650845</v>
      </c>
      <c r="D16" s="1">
        <f>200093+524077</f>
        <v>724170</v>
      </c>
      <c r="I16" s="1">
        <v>982465.69499999995</v>
      </c>
      <c r="J16" s="157">
        <v>985239.527</v>
      </c>
      <c r="K16" s="1">
        <v>1094075.301</v>
      </c>
      <c r="L16" s="1">
        <v>1146244.49</v>
      </c>
      <c r="M16" s="1">
        <v>1139113.4680000001</v>
      </c>
      <c r="N16" s="1">
        <v>1221587.4550000001</v>
      </c>
      <c r="O16" s="1">
        <v>1337371.165</v>
      </c>
      <c r="R16" s="20">
        <v>1479981.3259999999</v>
      </c>
      <c r="S16" s="1">
        <v>1564608.1</v>
      </c>
      <c r="T16" s="51">
        <v>1445904.412</v>
      </c>
      <c r="U16" s="1">
        <v>1499198.1410000001</v>
      </c>
      <c r="V16" s="1">
        <v>1583057.452</v>
      </c>
      <c r="W16" s="157">
        <v>1728540.7830000001</v>
      </c>
      <c r="X16" s="157">
        <v>1922823.0919999999</v>
      </c>
      <c r="Y16" s="157">
        <v>2172310.2940000002</v>
      </c>
      <c r="Z16" s="157">
        <v>2417578.33</v>
      </c>
      <c r="AA16" s="157">
        <v>2187614.0460000001</v>
      </c>
      <c r="AB16" s="157">
        <v>2311354.0720000002</v>
      </c>
      <c r="AC16" s="157">
        <v>2324866</v>
      </c>
      <c r="AD16" s="1">
        <v>2304622.835</v>
      </c>
      <c r="AE16" s="1">
        <v>2396348.5860000001</v>
      </c>
      <c r="AF16" s="1">
        <v>2321180.594</v>
      </c>
      <c r="AG16" s="1">
        <v>2331625.6179999998</v>
      </c>
      <c r="AH16" s="1">
        <v>2433296.753</v>
      </c>
      <c r="AI16" s="1">
        <v>2493802.068</v>
      </c>
      <c r="AK16" s="1">
        <v>2728346.1940000001</v>
      </c>
    </row>
    <row r="17" spans="1:37" ht="12.75" customHeight="1">
      <c r="A17" s="1" t="s">
        <v>31</v>
      </c>
      <c r="B17" s="1">
        <v>277245</v>
      </c>
      <c r="C17" s="1">
        <f>0+280953</f>
        <v>280953</v>
      </c>
      <c r="D17" s="1">
        <f>0+332931</f>
        <v>332931</v>
      </c>
      <c r="I17" s="1">
        <v>377399.47700000001</v>
      </c>
      <c r="J17" s="157">
        <v>410527.91899999999</v>
      </c>
      <c r="K17" s="1">
        <v>419194.03499999997</v>
      </c>
      <c r="L17" s="1">
        <v>404476.20400000003</v>
      </c>
      <c r="M17" s="1">
        <v>423439.94</v>
      </c>
      <c r="N17" s="1">
        <v>431118.47100000002</v>
      </c>
      <c r="O17" s="1">
        <v>460370.27045000001</v>
      </c>
      <c r="R17" s="20">
        <v>564966.42799999996</v>
      </c>
      <c r="S17" s="1">
        <v>610066.02500000002</v>
      </c>
      <c r="T17" s="51">
        <v>605564.08900000004</v>
      </c>
      <c r="U17" s="1">
        <v>587758.86899999995</v>
      </c>
      <c r="V17" s="1">
        <v>587111.03200000001</v>
      </c>
      <c r="W17" s="157">
        <v>601879.82799999998</v>
      </c>
      <c r="X17" s="157">
        <v>648573.15899999999</v>
      </c>
      <c r="Y17" s="157">
        <v>739268.25199999998</v>
      </c>
      <c r="Z17" s="157">
        <v>760453.07</v>
      </c>
      <c r="AA17" s="157">
        <v>632075.63100000005</v>
      </c>
      <c r="AB17" s="157">
        <v>745525.62399999995</v>
      </c>
      <c r="AC17" s="157">
        <v>744511</v>
      </c>
      <c r="AD17" s="1">
        <v>723288.90300000005</v>
      </c>
      <c r="AE17" s="1">
        <v>723441.77800000005</v>
      </c>
      <c r="AF17" s="1">
        <v>731440.15599999996</v>
      </c>
      <c r="AG17" s="1">
        <v>725749.36100000003</v>
      </c>
      <c r="AH17" s="1">
        <v>635085.08400000003</v>
      </c>
      <c r="AI17" s="1">
        <v>599281.09299999999</v>
      </c>
      <c r="AK17" s="1">
        <v>568305.90800000005</v>
      </c>
    </row>
    <row r="18" spans="1:37" ht="12.75" customHeight="1">
      <c r="A18" s="1" t="s">
        <v>32</v>
      </c>
      <c r="B18" s="1">
        <f>151622+149912</f>
        <v>301534</v>
      </c>
      <c r="C18" s="1">
        <f>183880+177843</f>
        <v>361723</v>
      </c>
      <c r="D18" s="1">
        <f>203021+188266</f>
        <v>391287</v>
      </c>
      <c r="I18" s="1">
        <v>468644.663</v>
      </c>
      <c r="J18" s="157">
        <v>451431.14299999998</v>
      </c>
      <c r="K18" s="1">
        <v>467553.03200000001</v>
      </c>
      <c r="L18" s="1">
        <v>459737.94300000003</v>
      </c>
      <c r="M18" s="1">
        <v>489080.23300000001</v>
      </c>
      <c r="N18" s="1">
        <v>513302.83600000001</v>
      </c>
      <c r="O18" s="1">
        <v>543465.14300000004</v>
      </c>
      <c r="R18" s="20">
        <v>658631.12399999995</v>
      </c>
      <c r="S18" s="1">
        <v>669493.60199999996</v>
      </c>
      <c r="T18" s="51">
        <v>634651.06900000002</v>
      </c>
      <c r="U18" s="1">
        <v>570537.73899999994</v>
      </c>
      <c r="V18" s="1">
        <v>513818.527</v>
      </c>
      <c r="W18" s="157">
        <v>524429.42799999996</v>
      </c>
      <c r="X18" s="157">
        <v>562050.875</v>
      </c>
      <c r="Y18" s="157">
        <v>635927.43099999998</v>
      </c>
      <c r="Z18" s="157">
        <v>680923.49899999995</v>
      </c>
      <c r="AA18" s="157">
        <v>407947.78200000001</v>
      </c>
      <c r="AB18" s="157">
        <v>480646.98599999998</v>
      </c>
      <c r="AC18" s="157">
        <v>375759</v>
      </c>
      <c r="AD18" s="1">
        <v>360553.511</v>
      </c>
      <c r="AE18" s="1">
        <v>395480.37099999998</v>
      </c>
      <c r="AF18" s="1">
        <v>421748.61099999998</v>
      </c>
      <c r="AG18" s="1">
        <v>451544.17</v>
      </c>
      <c r="AH18" s="1">
        <v>449524.897</v>
      </c>
      <c r="AI18" s="1">
        <v>489305.80800000002</v>
      </c>
      <c r="AK18" s="1">
        <v>531692.049</v>
      </c>
    </row>
    <row r="19" spans="1:37" ht="12.75" customHeight="1">
      <c r="A19" s="1" t="s">
        <v>33</v>
      </c>
      <c r="B19" s="1">
        <f>81819+212982</f>
        <v>294801</v>
      </c>
      <c r="C19" s="1">
        <f>99246+258852</f>
        <v>358098</v>
      </c>
      <c r="D19" s="1">
        <f>131851+284945</f>
        <v>416796</v>
      </c>
      <c r="I19" s="1">
        <v>551577.64800000004</v>
      </c>
      <c r="J19" s="157">
        <v>517891.25400000002</v>
      </c>
      <c r="K19" s="1">
        <v>582779.68900000001</v>
      </c>
      <c r="L19" s="1">
        <v>623111.47600000002</v>
      </c>
      <c r="M19" s="1">
        <v>660867.12</v>
      </c>
      <c r="N19" s="1">
        <v>690564.52</v>
      </c>
      <c r="O19" s="1">
        <v>698971.55678999994</v>
      </c>
      <c r="R19" s="27">
        <v>728422.70700000005</v>
      </c>
      <c r="S19" s="1">
        <v>779311.6</v>
      </c>
      <c r="T19" s="51">
        <v>791502.55900000001</v>
      </c>
      <c r="U19" s="1">
        <v>806019.99100000004</v>
      </c>
      <c r="V19" s="1">
        <v>803698.83200000005</v>
      </c>
      <c r="W19" s="157">
        <v>850310.09299999999</v>
      </c>
      <c r="X19" s="157">
        <v>868236.10100000002</v>
      </c>
      <c r="Y19" s="157">
        <v>926489.87800000003</v>
      </c>
      <c r="Z19" s="157">
        <v>1003041.906</v>
      </c>
      <c r="AA19" s="157">
        <v>930734.51</v>
      </c>
      <c r="AB19" s="157">
        <v>866243.44700000004</v>
      </c>
      <c r="AC19" s="157">
        <v>999146</v>
      </c>
      <c r="AD19" s="1">
        <v>789602.69499999995</v>
      </c>
      <c r="AE19" s="1">
        <v>812371.473</v>
      </c>
      <c r="AF19" s="1">
        <v>868271.81700000004</v>
      </c>
      <c r="AG19" s="1">
        <v>879101.70400000003</v>
      </c>
      <c r="AH19" s="1">
        <v>922758.34499999997</v>
      </c>
      <c r="AI19" s="1">
        <v>968781.33200000005</v>
      </c>
      <c r="AK19" s="1">
        <v>1114193.652</v>
      </c>
    </row>
    <row r="20" spans="1:37" ht="12.75" customHeight="1">
      <c r="A20" s="1" t="s">
        <v>34</v>
      </c>
      <c r="B20" s="1">
        <f>582658+1207974</f>
        <v>1790632</v>
      </c>
      <c r="C20" s="1">
        <f>616385+1264803</f>
        <v>1881188</v>
      </c>
      <c r="D20" s="1">
        <f>585429+1204352</f>
        <v>1789781</v>
      </c>
      <c r="I20" s="1">
        <v>2053314.517</v>
      </c>
      <c r="J20" s="157">
        <v>2191980.2740000002</v>
      </c>
      <c r="K20" s="1">
        <v>2316047.9700000002</v>
      </c>
      <c r="L20" s="1">
        <v>2479153.6850000001</v>
      </c>
      <c r="M20" s="1">
        <v>2433332.1910000001</v>
      </c>
      <c r="N20" s="1">
        <v>2567837.889</v>
      </c>
      <c r="O20" s="1">
        <v>2538831.068</v>
      </c>
      <c r="R20" s="20">
        <v>3040663.88</v>
      </c>
      <c r="S20" s="1">
        <v>3259228.051</v>
      </c>
      <c r="T20" s="51">
        <v>3434558.0260000001</v>
      </c>
      <c r="U20" s="1">
        <v>3357437.0329999998</v>
      </c>
      <c r="V20" s="1">
        <v>3395930.1039999998</v>
      </c>
      <c r="W20" s="157">
        <v>3369311.1719999998</v>
      </c>
      <c r="X20" s="157">
        <v>3569723.4010000001</v>
      </c>
      <c r="Y20" s="157">
        <v>3618273.2949999999</v>
      </c>
      <c r="Z20" s="157">
        <v>4089853.4640000002</v>
      </c>
      <c r="AA20" s="157">
        <v>2867756.3760000002</v>
      </c>
      <c r="AB20" s="157">
        <v>4173462.6609999998</v>
      </c>
      <c r="AC20" s="157">
        <v>3928222</v>
      </c>
      <c r="AD20" s="1">
        <v>3839341.273</v>
      </c>
      <c r="AE20" s="1">
        <v>2599660.415</v>
      </c>
      <c r="AF20" s="1">
        <v>2960330.9049999998</v>
      </c>
      <c r="AG20" s="1">
        <v>3050476.0090000001</v>
      </c>
      <c r="AH20" s="1">
        <v>4621186.1320000002</v>
      </c>
      <c r="AI20" s="1">
        <v>4599927.9110000003</v>
      </c>
      <c r="AK20" s="1">
        <v>4802506.3880000003</v>
      </c>
    </row>
    <row r="21" spans="1:37" ht="12.75" customHeight="1">
      <c r="A21" s="1" t="s">
        <v>35</v>
      </c>
      <c r="B21" s="1">
        <f>146032+270661</f>
        <v>416693</v>
      </c>
      <c r="C21" s="1">
        <f>228245+321500</f>
        <v>549745</v>
      </c>
      <c r="D21" s="1">
        <f>251778+351025</f>
        <v>602803</v>
      </c>
      <c r="I21" s="1">
        <v>707159.70700000005</v>
      </c>
      <c r="J21" s="157">
        <v>633042.83700000006</v>
      </c>
      <c r="K21" s="1">
        <v>617361.76199999999</v>
      </c>
      <c r="L21" s="1">
        <v>635048.48699999996</v>
      </c>
      <c r="M21" s="1">
        <v>662084.55599999998</v>
      </c>
      <c r="N21" s="1">
        <v>655906.13199999998</v>
      </c>
      <c r="O21" s="1">
        <v>692939.13399999996</v>
      </c>
      <c r="R21" s="20">
        <v>1014571.662</v>
      </c>
      <c r="S21" s="1">
        <v>1104026.4339999999</v>
      </c>
      <c r="T21" s="51">
        <v>1127810.327</v>
      </c>
      <c r="U21" s="1">
        <v>1017232.661</v>
      </c>
      <c r="V21" s="1">
        <v>927906.16</v>
      </c>
      <c r="W21" s="157">
        <v>1029291.674</v>
      </c>
      <c r="X21" s="157">
        <v>1147144.584</v>
      </c>
      <c r="Y21" s="157">
        <v>1259873.682</v>
      </c>
      <c r="Z21" s="157">
        <v>1329138.037</v>
      </c>
      <c r="AA21" s="157">
        <v>1277161.94</v>
      </c>
      <c r="AB21" s="157">
        <v>1103301.477</v>
      </c>
      <c r="AC21" s="157">
        <v>1130534</v>
      </c>
      <c r="AD21" s="1">
        <v>1100008.176</v>
      </c>
      <c r="AE21" s="1">
        <v>1191443.827</v>
      </c>
      <c r="AF21" s="1">
        <v>1254575.233</v>
      </c>
      <c r="AG21" s="1">
        <v>1227697.084</v>
      </c>
      <c r="AH21" s="1">
        <v>1300353.969</v>
      </c>
      <c r="AI21" s="1">
        <v>1383543.557</v>
      </c>
      <c r="AK21" s="1">
        <v>1428206.317</v>
      </c>
    </row>
    <row r="22" spans="1:37" ht="12.75" customHeight="1">
      <c r="A22" s="30" t="s">
        <v>36</v>
      </c>
      <c r="B22" s="30">
        <f>90394+73724</f>
        <v>164118</v>
      </c>
      <c r="C22" s="30">
        <f>106066+83433</f>
        <v>189499</v>
      </c>
      <c r="D22" s="30">
        <f>111739+88016</f>
        <v>199755</v>
      </c>
      <c r="E22" s="30"/>
      <c r="F22" s="30"/>
      <c r="G22" s="30"/>
      <c r="H22" s="30"/>
      <c r="I22" s="30">
        <v>252501.27299999999</v>
      </c>
      <c r="J22" s="158">
        <v>263751.45799999998</v>
      </c>
      <c r="K22" s="30">
        <v>265720.55</v>
      </c>
      <c r="L22" s="30">
        <v>279684.73800000001</v>
      </c>
      <c r="M22" s="30">
        <v>285280.83600000001</v>
      </c>
      <c r="N22" s="30">
        <v>306152.42300000001</v>
      </c>
      <c r="O22" s="30">
        <v>308219.92199</v>
      </c>
      <c r="P22" s="30"/>
      <c r="Q22" s="30"/>
      <c r="R22" s="30">
        <v>343708.36</v>
      </c>
      <c r="S22" s="30">
        <v>364964.28499999997</v>
      </c>
      <c r="T22" s="68">
        <v>372104.48</v>
      </c>
      <c r="U22" s="30">
        <v>368923.40700000001</v>
      </c>
      <c r="V22" s="30">
        <v>345418.83600000001</v>
      </c>
      <c r="W22" s="158">
        <v>315984.61900000001</v>
      </c>
      <c r="X22" s="158">
        <v>324712.96500000003</v>
      </c>
      <c r="Y22" s="158">
        <v>332978.69799999997</v>
      </c>
      <c r="Z22" s="158">
        <v>353071.484</v>
      </c>
      <c r="AA22" s="158">
        <v>357603.08199999999</v>
      </c>
      <c r="AB22" s="158">
        <v>329411.83799999999</v>
      </c>
      <c r="AC22" s="158">
        <v>338793</v>
      </c>
      <c r="AD22" s="30">
        <v>366972.17599999998</v>
      </c>
      <c r="AE22" s="30">
        <v>365026.56</v>
      </c>
      <c r="AF22" s="30">
        <v>341457.66899999999</v>
      </c>
      <c r="AG22" s="30">
        <v>337788.788</v>
      </c>
      <c r="AH22" s="30">
        <v>318707.696</v>
      </c>
      <c r="AI22" s="30">
        <v>317642.337</v>
      </c>
      <c r="AJ22" s="30"/>
      <c r="AK22" s="30">
        <v>317526.75300000003</v>
      </c>
    </row>
    <row r="23" spans="1:37" ht="12.75" customHeight="1">
      <c r="A23" s="6" t="s">
        <v>37</v>
      </c>
      <c r="J23" s="58">
        <f t="shared" ref="J23" si="18">SUM(J25:J37)</f>
        <v>6768004.0889999997</v>
      </c>
      <c r="M23" s="58">
        <f t="shared" ref="M23" si="19">SUM(M25:M37)</f>
        <v>6498781.817999999</v>
      </c>
      <c r="O23" s="58">
        <f t="shared" ref="O23" si="20">SUM(O25:O37)</f>
        <v>7364637.8521899991</v>
      </c>
      <c r="R23" s="58">
        <f t="shared" ref="R23:AK23" si="21">SUM(R25:R37)</f>
        <v>8529276.972000001</v>
      </c>
      <c r="S23" s="58">
        <f t="shared" si="21"/>
        <v>9400007.6009999998</v>
      </c>
      <c r="T23" s="67">
        <f t="shared" si="21"/>
        <v>9942197.6030000001</v>
      </c>
      <c r="U23" s="58">
        <f t="shared" si="21"/>
        <v>9803978.7809999995</v>
      </c>
      <c r="V23" s="58">
        <f t="shared" si="21"/>
        <v>9521669.2699999977</v>
      </c>
      <c r="W23" s="58">
        <f t="shared" si="21"/>
        <v>9453249.0199999996</v>
      </c>
      <c r="X23" s="58">
        <f t="shared" si="21"/>
        <v>9584289.0069999993</v>
      </c>
      <c r="Y23" s="58">
        <f t="shared" si="21"/>
        <v>10498141.120999999</v>
      </c>
      <c r="Z23" s="58">
        <f t="shared" si="21"/>
        <v>11406870.43</v>
      </c>
      <c r="AA23" s="58">
        <f t="shared" si="21"/>
        <v>9329462.9700000007</v>
      </c>
      <c r="AB23" s="58">
        <f t="shared" si="21"/>
        <v>9452162.3909999989</v>
      </c>
      <c r="AC23" s="58">
        <f t="shared" si="21"/>
        <v>9636091</v>
      </c>
      <c r="AD23" s="58">
        <f t="shared" si="21"/>
        <v>8089859.9989999998</v>
      </c>
      <c r="AE23" s="58">
        <f t="shared" si="21"/>
        <v>8364813.2939999998</v>
      </c>
      <c r="AF23" s="58">
        <f t="shared" si="21"/>
        <v>9076788.2889999989</v>
      </c>
      <c r="AG23" s="58">
        <f t="shared" si="21"/>
        <v>9596177.5850000028</v>
      </c>
      <c r="AH23" s="58">
        <f t="shared" si="21"/>
        <v>10338332.58</v>
      </c>
      <c r="AI23" s="58">
        <f t="shared" si="21"/>
        <v>10932113.316</v>
      </c>
      <c r="AJ23" s="58">
        <f t="shared" si="21"/>
        <v>0</v>
      </c>
      <c r="AK23" s="58">
        <f t="shared" si="21"/>
        <v>12087355.074000001</v>
      </c>
    </row>
    <row r="24" spans="1:37" ht="12.75" customHeight="1">
      <c r="A24" s="6" t="s">
        <v>94</v>
      </c>
      <c r="T24" s="51"/>
      <c r="AA24" s="10">
        <v>0</v>
      </c>
      <c r="AD24" s="1">
        <v>0</v>
      </c>
      <c r="AF24" s="1">
        <v>0</v>
      </c>
      <c r="AH24" s="1">
        <v>0</v>
      </c>
      <c r="AI24" s="1">
        <v>0</v>
      </c>
    </row>
    <row r="25" spans="1:37" ht="12.75" customHeight="1">
      <c r="A25" s="1" t="s">
        <v>38</v>
      </c>
      <c r="J25" s="157">
        <v>155001.367</v>
      </c>
      <c r="M25" s="1">
        <v>158923.92800000001</v>
      </c>
      <c r="O25" s="1">
        <v>168761.141</v>
      </c>
      <c r="R25" s="20">
        <v>162957.79</v>
      </c>
      <c r="S25" s="1">
        <v>176436.435</v>
      </c>
      <c r="T25" s="51">
        <v>185339.97200000001</v>
      </c>
      <c r="U25" s="1">
        <v>193932.63500000001</v>
      </c>
      <c r="V25" s="1">
        <v>199837.837</v>
      </c>
      <c r="W25" s="157">
        <v>213263.24400000001</v>
      </c>
      <c r="X25" s="157">
        <v>230897.96799999999</v>
      </c>
      <c r="Y25" s="157">
        <v>262438.02100000001</v>
      </c>
      <c r="Z25" s="157">
        <v>300499.09100000001</v>
      </c>
      <c r="AA25" s="157">
        <v>290025.21899999998</v>
      </c>
      <c r="AB25" s="157">
        <v>303226.67300000001</v>
      </c>
      <c r="AC25" s="157">
        <v>313561</v>
      </c>
      <c r="AD25" s="1">
        <v>323284.07699999999</v>
      </c>
      <c r="AE25" s="1">
        <v>336690.77799999999</v>
      </c>
      <c r="AF25" s="1">
        <v>354822.95899999997</v>
      </c>
      <c r="AG25" s="1">
        <v>353306.32900000003</v>
      </c>
      <c r="AH25" s="1">
        <v>334724.69099999999</v>
      </c>
      <c r="AI25" s="1">
        <v>314161.61900000001</v>
      </c>
      <c r="AK25" s="1">
        <v>315580.09499999997</v>
      </c>
    </row>
    <row r="26" spans="1:37" ht="12.75" customHeight="1">
      <c r="A26" s="1" t="s">
        <v>39</v>
      </c>
      <c r="J26" s="157">
        <v>518041.36599999998</v>
      </c>
      <c r="M26" s="1">
        <v>575402.46</v>
      </c>
      <c r="O26" s="1">
        <v>629356.39199999999</v>
      </c>
      <c r="R26" s="20">
        <v>744595.48400000005</v>
      </c>
      <c r="S26" s="1">
        <v>766324.40099999995</v>
      </c>
      <c r="T26" s="51">
        <v>747726.61</v>
      </c>
      <c r="U26" s="1">
        <v>763387.45</v>
      </c>
      <c r="V26" s="1">
        <v>760410.6</v>
      </c>
      <c r="W26" s="157">
        <v>808701</v>
      </c>
      <c r="X26" s="157">
        <v>871880.1</v>
      </c>
      <c r="Y26" s="157">
        <v>980623.45</v>
      </c>
      <c r="Z26" s="157">
        <v>1067002.45</v>
      </c>
      <c r="AA26" s="157">
        <v>909540.125</v>
      </c>
      <c r="AB26" s="157">
        <v>859761.625</v>
      </c>
      <c r="AC26" s="157">
        <v>858553</v>
      </c>
      <c r="AD26" s="1">
        <v>699284.8</v>
      </c>
      <c r="AE26" s="1">
        <v>673142.72499999998</v>
      </c>
      <c r="AF26" s="1">
        <v>707574.27500000002</v>
      </c>
      <c r="AG26" s="1">
        <v>744542.85</v>
      </c>
      <c r="AH26" s="1">
        <v>641327.875</v>
      </c>
      <c r="AI26" s="1">
        <v>668780.5</v>
      </c>
      <c r="AK26" s="1">
        <v>689474.5</v>
      </c>
    </row>
    <row r="27" spans="1:37" ht="12.75" customHeight="1">
      <c r="A27" s="1" t="s">
        <v>40</v>
      </c>
      <c r="J27" s="157">
        <v>3600074.7570000002</v>
      </c>
      <c r="M27" s="1">
        <v>3108043.3849999998</v>
      </c>
      <c r="O27" s="1">
        <v>3732131.5350000001</v>
      </c>
      <c r="R27" s="20">
        <v>4416960.7810000004</v>
      </c>
      <c r="S27" s="1">
        <v>5056989.9550000001</v>
      </c>
      <c r="T27" s="51">
        <v>5461501.0480000004</v>
      </c>
      <c r="U27" s="1">
        <v>5415056.9160000002</v>
      </c>
      <c r="V27" s="1">
        <v>5092428.6239999998</v>
      </c>
      <c r="W27" s="157">
        <v>4807837.932</v>
      </c>
      <c r="X27" s="157">
        <v>5013783.0659999996</v>
      </c>
      <c r="Y27" s="157">
        <v>5454609.091</v>
      </c>
      <c r="Z27" s="157">
        <v>5789998.3540000003</v>
      </c>
      <c r="AA27" s="157">
        <v>4283984.6730000004</v>
      </c>
      <c r="AB27" s="157">
        <v>4952770.8140000002</v>
      </c>
      <c r="AC27" s="157">
        <v>5108879</v>
      </c>
      <c r="AD27" s="1">
        <v>3952799.7769999998</v>
      </c>
      <c r="AE27" s="1">
        <v>4189706.9679999999</v>
      </c>
      <c r="AF27" s="1">
        <v>4644558.7359999996</v>
      </c>
      <c r="AG27" s="1">
        <v>4941723.6509999996</v>
      </c>
      <c r="AH27" s="1">
        <v>5437966.9440000001</v>
      </c>
      <c r="AI27" s="1">
        <v>5835114.5219999999</v>
      </c>
      <c r="AK27" s="1">
        <v>6659407.1560000004</v>
      </c>
    </row>
    <row r="28" spans="1:37" ht="12.75" customHeight="1">
      <c r="A28" s="1" t="s">
        <v>41</v>
      </c>
      <c r="J28" s="157">
        <v>343126.57</v>
      </c>
      <c r="M28" s="1">
        <v>370292.31599999999</v>
      </c>
      <c r="O28" s="1">
        <v>423525.44699999999</v>
      </c>
      <c r="R28" s="20">
        <v>492775.52299999999</v>
      </c>
      <c r="S28" s="1">
        <v>521928.288</v>
      </c>
      <c r="T28" s="51">
        <v>502780.25900000002</v>
      </c>
      <c r="U28" s="1">
        <v>442160.17700000003</v>
      </c>
      <c r="V28" s="1">
        <v>333532.37599999999</v>
      </c>
      <c r="W28" s="157">
        <v>385112.29499999998</v>
      </c>
      <c r="X28" s="157">
        <v>2833.9119999999998</v>
      </c>
      <c r="Y28" s="157">
        <v>3250</v>
      </c>
      <c r="Z28" s="157">
        <v>11761.344999999999</v>
      </c>
      <c r="AA28" s="157">
        <v>22747.3</v>
      </c>
      <c r="AB28" s="157">
        <v>23450</v>
      </c>
      <c r="AC28" s="157">
        <v>21374</v>
      </c>
      <c r="AD28" s="1">
        <v>16814.415000000001</v>
      </c>
      <c r="AE28" s="1">
        <v>16631.423999999999</v>
      </c>
      <c r="AF28" s="1">
        <v>18410.96</v>
      </c>
      <c r="AG28" s="1">
        <v>17220.883000000002</v>
      </c>
      <c r="AH28" s="1">
        <v>24613.353999999999</v>
      </c>
      <c r="AI28" s="1">
        <v>26718.621999999999</v>
      </c>
      <c r="AK28" s="1">
        <v>28967.793000000001</v>
      </c>
    </row>
    <row r="29" spans="1:37" ht="12.75" customHeight="1">
      <c r="A29" s="1" t="s">
        <v>42</v>
      </c>
      <c r="J29" s="157">
        <v>258758.04500000001</v>
      </c>
      <c r="M29" s="1">
        <v>272264.27100000001</v>
      </c>
      <c r="O29" s="1">
        <v>208670.01300000001</v>
      </c>
      <c r="R29" s="20">
        <v>191963.818</v>
      </c>
      <c r="S29" s="1">
        <v>195365.11499999999</v>
      </c>
      <c r="T29" s="51">
        <v>205846.56700000001</v>
      </c>
      <c r="U29" s="1">
        <v>212848.47099999999</v>
      </c>
      <c r="V29" s="1">
        <v>220497.111</v>
      </c>
      <c r="W29" s="157">
        <v>229925.19200000001</v>
      </c>
      <c r="X29" s="157">
        <v>250189.296</v>
      </c>
      <c r="Y29" s="157">
        <v>272226.652</v>
      </c>
      <c r="Z29" s="157">
        <v>314000.087</v>
      </c>
      <c r="AA29" s="157">
        <v>301636.31300000002</v>
      </c>
      <c r="AB29" s="157">
        <v>233107.63</v>
      </c>
      <c r="AC29" s="157">
        <v>225566</v>
      </c>
      <c r="AD29" s="1">
        <v>232905.26500000001</v>
      </c>
      <c r="AE29" s="1">
        <v>233022.84700000001</v>
      </c>
      <c r="AF29" s="1">
        <v>237363.61300000001</v>
      </c>
      <c r="AG29" s="1">
        <v>255527.503</v>
      </c>
      <c r="AH29" s="1">
        <v>271695.853</v>
      </c>
      <c r="AI29" s="1">
        <v>291620.22499999998</v>
      </c>
      <c r="AK29" s="1">
        <v>310377.33199999999</v>
      </c>
    </row>
    <row r="30" spans="1:37" ht="12.75" customHeight="1">
      <c r="A30" s="1" t="s">
        <v>43</v>
      </c>
      <c r="J30" s="157">
        <v>174305.68299999999</v>
      </c>
      <c r="M30" s="1">
        <v>202268.86900000001</v>
      </c>
      <c r="O30" s="1">
        <v>212479.96100000001</v>
      </c>
      <c r="R30" s="20">
        <v>248220.77100000001</v>
      </c>
      <c r="S30" s="1">
        <v>260791.095</v>
      </c>
      <c r="T30" s="51">
        <v>297071.288</v>
      </c>
      <c r="U30" s="1">
        <v>270426.13400000002</v>
      </c>
      <c r="V30" s="1">
        <v>283744.92099999997</v>
      </c>
      <c r="W30" s="157">
        <v>292451.712</v>
      </c>
      <c r="X30" s="157">
        <v>301351.16600000003</v>
      </c>
      <c r="Y30" s="157">
        <v>312487.701</v>
      </c>
      <c r="Z30" s="157">
        <v>326684.53600000002</v>
      </c>
      <c r="AA30" s="157">
        <v>332559.09499999997</v>
      </c>
      <c r="AB30" s="157">
        <v>285923.587</v>
      </c>
      <c r="AC30" s="157">
        <v>274549</v>
      </c>
      <c r="AD30" s="1">
        <v>262013.94500000001</v>
      </c>
      <c r="AE30" s="1">
        <v>281835.96999999997</v>
      </c>
      <c r="AF30" s="1">
        <v>293052.011</v>
      </c>
      <c r="AG30" s="1">
        <v>314556.51199999999</v>
      </c>
      <c r="AH30" s="1">
        <v>326387.47700000001</v>
      </c>
      <c r="AI30" s="1">
        <v>354900.42599999998</v>
      </c>
      <c r="AK30" s="1">
        <v>371591.739</v>
      </c>
    </row>
    <row r="31" spans="1:37" ht="12.75" customHeight="1">
      <c r="A31" s="1" t="s">
        <v>44</v>
      </c>
      <c r="J31" s="157">
        <v>119681.11900000001</v>
      </c>
      <c r="M31" s="1">
        <v>102131.257</v>
      </c>
      <c r="O31" s="1">
        <v>114644.04399999999</v>
      </c>
      <c r="R31" s="27">
        <v>119527.78200000001</v>
      </c>
      <c r="S31" s="1">
        <v>125118.122</v>
      </c>
      <c r="T31" s="51">
        <v>128375.857</v>
      </c>
      <c r="U31" s="1">
        <v>127714.167</v>
      </c>
      <c r="V31" s="1">
        <v>133809.74900000001</v>
      </c>
      <c r="W31" s="157">
        <v>125087.579</v>
      </c>
      <c r="X31" s="157">
        <v>137428.14600000001</v>
      </c>
      <c r="Y31" s="157">
        <v>139835.17199999999</v>
      </c>
      <c r="Z31" s="157">
        <v>161742.06099999999</v>
      </c>
      <c r="AA31" s="157">
        <v>173145.701</v>
      </c>
      <c r="AB31" s="157">
        <v>154773.89000000001</v>
      </c>
      <c r="AC31" s="157">
        <v>154122</v>
      </c>
      <c r="AD31" s="1">
        <v>170456.36199999999</v>
      </c>
      <c r="AE31" s="1">
        <v>171498.64600000001</v>
      </c>
      <c r="AF31" s="1">
        <v>186114.21</v>
      </c>
      <c r="AG31" s="1">
        <v>199430</v>
      </c>
      <c r="AH31" s="1">
        <v>217172.13699999999</v>
      </c>
      <c r="AI31" s="1">
        <v>217199.155</v>
      </c>
      <c r="AK31" s="1">
        <v>214032.505</v>
      </c>
    </row>
    <row r="32" spans="1:37" ht="12.75" customHeight="1">
      <c r="A32" s="1" t="s">
        <v>45</v>
      </c>
      <c r="J32" s="157">
        <v>135562.67000000001</v>
      </c>
      <c r="M32" s="1">
        <v>157044.49299999999</v>
      </c>
      <c r="O32" s="1">
        <v>179321.29300000001</v>
      </c>
      <c r="R32" s="27">
        <v>210617.318</v>
      </c>
      <c r="S32" s="1">
        <v>225914.084</v>
      </c>
      <c r="T32" s="51">
        <v>258708.09099999999</v>
      </c>
      <c r="U32" s="1">
        <v>263005.14799999999</v>
      </c>
      <c r="V32" s="1">
        <v>402220.74800000002</v>
      </c>
      <c r="W32" s="157">
        <v>421289.94</v>
      </c>
      <c r="X32" s="157">
        <v>465989.28100000002</v>
      </c>
      <c r="Y32" s="157">
        <v>518442.21600000001</v>
      </c>
      <c r="Z32" s="157">
        <v>543566.96400000004</v>
      </c>
      <c r="AA32" s="157">
        <v>415621.20199999999</v>
      </c>
      <c r="AB32" s="157">
        <v>260612.21299999999</v>
      </c>
      <c r="AC32" s="157">
        <v>355862</v>
      </c>
      <c r="AD32" s="1">
        <v>305000.79100000003</v>
      </c>
      <c r="AE32" s="1">
        <v>303923.92200000002</v>
      </c>
      <c r="AF32" s="1">
        <v>313715.71500000003</v>
      </c>
      <c r="AG32" s="1">
        <v>313807.90600000002</v>
      </c>
      <c r="AH32" s="1">
        <v>365047.20199999999</v>
      </c>
      <c r="AI32" s="1">
        <v>388717.95400000003</v>
      </c>
      <c r="AK32" s="1">
        <v>443140.103</v>
      </c>
    </row>
    <row r="33" spans="1:37" ht="12.75" customHeight="1">
      <c r="A33" s="1" t="s">
        <v>46</v>
      </c>
      <c r="J33" s="157">
        <v>263235.42</v>
      </c>
      <c r="M33" s="1">
        <v>319403.24800000002</v>
      </c>
      <c r="O33" s="1">
        <v>371084.85119000002</v>
      </c>
      <c r="R33" s="27">
        <v>398894.58799999999</v>
      </c>
      <c r="S33" s="1">
        <v>405643.02399999998</v>
      </c>
      <c r="T33" s="51">
        <v>423919.43199999997</v>
      </c>
      <c r="U33" s="1">
        <v>436129.73</v>
      </c>
      <c r="V33" s="1">
        <v>461582.39299999998</v>
      </c>
      <c r="W33" s="157">
        <v>479963.88699999999</v>
      </c>
      <c r="X33" s="157">
        <v>508088.53700000001</v>
      </c>
      <c r="Y33" s="157">
        <v>554098.81900000002</v>
      </c>
      <c r="Z33" s="157">
        <v>654978.93999999994</v>
      </c>
      <c r="AA33" s="157">
        <v>608596.56999999995</v>
      </c>
      <c r="AB33" s="157">
        <v>572094.98699999996</v>
      </c>
      <c r="AC33" s="157">
        <v>528353</v>
      </c>
      <c r="AD33" s="1">
        <v>496221.80200000003</v>
      </c>
      <c r="AE33" s="1">
        <v>523312.11300000001</v>
      </c>
      <c r="AF33" s="1">
        <v>547250.82499999995</v>
      </c>
      <c r="AG33" s="1">
        <v>577176.74100000004</v>
      </c>
      <c r="AH33" s="1">
        <v>582730.11100000003</v>
      </c>
      <c r="AI33" s="1">
        <v>553493.59</v>
      </c>
      <c r="AK33" s="1">
        <v>571325.68900000001</v>
      </c>
    </row>
    <row r="34" spans="1:37" ht="12.75" customHeight="1">
      <c r="A34" s="1" t="s">
        <v>47</v>
      </c>
      <c r="J34" s="157">
        <v>316039.35499999998</v>
      </c>
      <c r="M34" s="1">
        <v>292099.30099999998</v>
      </c>
      <c r="O34" s="1">
        <v>295028.01799999998</v>
      </c>
      <c r="R34" s="20">
        <v>360441.83100000001</v>
      </c>
      <c r="S34" s="1">
        <v>404458.25</v>
      </c>
      <c r="T34" s="51">
        <v>390630.163</v>
      </c>
      <c r="U34" s="1">
        <v>373624.27500000002</v>
      </c>
      <c r="V34" s="1">
        <v>352703.05599999998</v>
      </c>
      <c r="W34" s="157">
        <v>349214.80499999999</v>
      </c>
      <c r="X34" s="157">
        <v>366205.49900000001</v>
      </c>
      <c r="Y34" s="157">
        <v>382937.53700000001</v>
      </c>
      <c r="Z34" s="157">
        <v>459106.31199999998</v>
      </c>
      <c r="AA34" s="157">
        <v>321300.03499999997</v>
      </c>
      <c r="AB34" s="157">
        <v>374722.80099999998</v>
      </c>
      <c r="AC34" s="157">
        <v>377408</v>
      </c>
      <c r="AD34" s="1">
        <v>318871.32400000002</v>
      </c>
      <c r="AE34" s="1">
        <v>324510.05699999997</v>
      </c>
      <c r="AF34" s="1">
        <v>350542.625</v>
      </c>
      <c r="AG34" s="1">
        <v>384882.14500000002</v>
      </c>
      <c r="AH34" s="1">
        <v>446087.12</v>
      </c>
      <c r="AI34" s="1">
        <v>465158.929</v>
      </c>
      <c r="AK34" s="1">
        <v>520774.11700000003</v>
      </c>
    </row>
    <row r="35" spans="1:37" ht="12.75" customHeight="1">
      <c r="A35" s="1" t="s">
        <v>48</v>
      </c>
      <c r="J35" s="157">
        <v>259617.01699999999</v>
      </c>
      <c r="M35" s="1">
        <v>329534.179</v>
      </c>
      <c r="O35" s="1">
        <v>365514.95400000003</v>
      </c>
      <c r="R35" s="20">
        <v>424802.09700000001</v>
      </c>
      <c r="S35" s="1">
        <v>451868.15500000003</v>
      </c>
      <c r="T35" s="51">
        <v>510504.84100000001</v>
      </c>
      <c r="U35" s="1">
        <v>489874.33500000002</v>
      </c>
      <c r="V35" s="1">
        <v>495330.99599999998</v>
      </c>
      <c r="W35" s="157">
        <v>516562.65899999999</v>
      </c>
      <c r="X35" s="157">
        <v>551153.68099999998</v>
      </c>
      <c r="Y35" s="157">
        <v>577686.57499999995</v>
      </c>
      <c r="Z35" s="157">
        <v>644718.69099999999</v>
      </c>
      <c r="AA35" s="157">
        <v>601711.97900000005</v>
      </c>
      <c r="AB35" s="157">
        <v>534332.52899999998</v>
      </c>
      <c r="AC35" s="157">
        <v>548641</v>
      </c>
      <c r="AD35" s="1">
        <v>592955.90099999995</v>
      </c>
      <c r="AE35" s="1">
        <v>581808.07999999996</v>
      </c>
      <c r="AF35" s="1">
        <v>616205.70400000003</v>
      </c>
      <c r="AG35" s="1">
        <v>676975.26500000001</v>
      </c>
      <c r="AH35" s="1">
        <v>750240.34400000004</v>
      </c>
      <c r="AI35" s="1">
        <v>781886.56</v>
      </c>
      <c r="AK35" s="1">
        <v>885003.76599999995</v>
      </c>
    </row>
    <row r="36" spans="1:37" ht="12.75" customHeight="1">
      <c r="A36" s="1" t="s">
        <v>49</v>
      </c>
      <c r="J36" s="157">
        <v>543338.37800000003</v>
      </c>
      <c r="M36" s="1">
        <v>528965.74600000004</v>
      </c>
      <c r="O36" s="1">
        <v>576839.05500000005</v>
      </c>
      <c r="R36" s="20">
        <v>665322.696</v>
      </c>
      <c r="S36" s="1">
        <v>708246.81400000001</v>
      </c>
      <c r="T36" s="51">
        <v>720107.03500000003</v>
      </c>
      <c r="U36" s="1">
        <v>692794.46100000001</v>
      </c>
      <c r="V36" s="1">
        <v>657268.31700000004</v>
      </c>
      <c r="W36" s="157">
        <v>684250.42799999996</v>
      </c>
      <c r="X36" s="157">
        <v>734275.929</v>
      </c>
      <c r="Y36" s="157">
        <v>865522.94799999997</v>
      </c>
      <c r="Z36" s="157">
        <v>948139.84</v>
      </c>
      <c r="AA36" s="157">
        <v>861130.83799999999</v>
      </c>
      <c r="AB36" s="157">
        <v>694930.07400000002</v>
      </c>
      <c r="AC36" s="157">
        <v>656012</v>
      </c>
      <c r="AD36" s="1">
        <v>500770.95699999999</v>
      </c>
      <c r="AE36" s="1">
        <v>496007.61</v>
      </c>
      <c r="AF36" s="1">
        <v>590621.67000000004</v>
      </c>
      <c r="AG36" s="1">
        <v>580802.27500000002</v>
      </c>
      <c r="AH36" s="1">
        <v>694319.99300000002</v>
      </c>
      <c r="AI36" s="1">
        <v>802521.34299999999</v>
      </c>
      <c r="AK36" s="1">
        <v>863541.27899999998</v>
      </c>
    </row>
    <row r="37" spans="1:37" ht="12.75" customHeight="1">
      <c r="A37" s="30" t="s">
        <v>50</v>
      </c>
      <c r="B37" s="30"/>
      <c r="C37" s="30"/>
      <c r="D37" s="30"/>
      <c r="E37" s="30"/>
      <c r="F37" s="30"/>
      <c r="G37" s="30"/>
      <c r="H37" s="30"/>
      <c r="I37" s="30"/>
      <c r="J37" s="158">
        <v>81222.342000000004</v>
      </c>
      <c r="K37" s="30"/>
      <c r="L37" s="30"/>
      <c r="M37" s="30">
        <v>82408.365000000005</v>
      </c>
      <c r="N37" s="30"/>
      <c r="O37" s="30">
        <v>87281.148000000001</v>
      </c>
      <c r="P37" s="30"/>
      <c r="Q37" s="30"/>
      <c r="R37" s="40">
        <v>92196.493000000002</v>
      </c>
      <c r="S37" s="30">
        <v>100923.863</v>
      </c>
      <c r="T37" s="68">
        <v>109686.44</v>
      </c>
      <c r="U37" s="30">
        <v>123024.882</v>
      </c>
      <c r="V37" s="30">
        <v>128302.542</v>
      </c>
      <c r="W37" s="158">
        <v>139588.34700000001</v>
      </c>
      <c r="X37" s="158">
        <v>150212.42600000001</v>
      </c>
      <c r="Y37" s="158">
        <v>173982.93900000001</v>
      </c>
      <c r="Z37" s="158">
        <v>184671.75899999999</v>
      </c>
      <c r="AA37" s="158">
        <v>207463.92</v>
      </c>
      <c r="AB37" s="158">
        <v>202455.568</v>
      </c>
      <c r="AC37" s="158">
        <v>213211</v>
      </c>
      <c r="AD37" s="30">
        <v>218480.58300000001</v>
      </c>
      <c r="AE37" s="30">
        <v>232722.15400000001</v>
      </c>
      <c r="AF37" s="30">
        <v>216554.986</v>
      </c>
      <c r="AG37" s="30">
        <v>236225.52499999999</v>
      </c>
      <c r="AH37" s="30">
        <v>246019.47899999999</v>
      </c>
      <c r="AI37" s="30">
        <v>231839.87100000001</v>
      </c>
      <c r="AJ37" s="30"/>
      <c r="AK37" s="30">
        <v>214139</v>
      </c>
    </row>
    <row r="38" spans="1:37" ht="12.75" customHeight="1">
      <c r="A38" s="6" t="s">
        <v>51</v>
      </c>
      <c r="J38" s="58">
        <f t="shared" ref="J38" si="22">SUM(J40:J51)</f>
        <v>7264371.0070000002</v>
      </c>
      <c r="M38" s="58">
        <f t="shared" ref="M38" si="23">SUM(M40:M51)</f>
        <v>7706541.1429999983</v>
      </c>
      <c r="O38" s="58">
        <f t="shared" ref="O38" si="24">SUM(O40:O51)</f>
        <v>8471512.9173799995</v>
      </c>
      <c r="R38" s="58">
        <f t="shared" ref="R38:AK38" si="25">SUM(R40:R51)</f>
        <v>9667319.6330000013</v>
      </c>
      <c r="S38" s="58">
        <f t="shared" si="25"/>
        <v>10365949.614</v>
      </c>
      <c r="T38" s="67">
        <f t="shared" si="25"/>
        <v>10103595.335000001</v>
      </c>
      <c r="U38" s="58">
        <f t="shared" si="25"/>
        <v>9903626.6120000016</v>
      </c>
      <c r="V38" s="58">
        <f t="shared" si="25"/>
        <v>9633079.9129999988</v>
      </c>
      <c r="W38" s="58">
        <f t="shared" si="25"/>
        <v>9580718.2539999988</v>
      </c>
      <c r="X38" s="58">
        <f t="shared" si="25"/>
        <v>9715997.5099999998</v>
      </c>
      <c r="Y38" s="58">
        <f t="shared" si="25"/>
        <v>9832093.430999998</v>
      </c>
      <c r="Z38" s="58">
        <f t="shared" si="25"/>
        <v>10602736.895000001</v>
      </c>
      <c r="AA38" s="58">
        <f t="shared" si="25"/>
        <v>10449846.903000001</v>
      </c>
      <c r="AB38" s="58">
        <f t="shared" si="25"/>
        <v>10121041.630000001</v>
      </c>
      <c r="AC38" s="58">
        <f t="shared" si="25"/>
        <v>9939617</v>
      </c>
      <c r="AD38" s="58">
        <f t="shared" si="25"/>
        <v>9323116.1359999981</v>
      </c>
      <c r="AE38" s="58">
        <f t="shared" si="25"/>
        <v>9387996.5690000001</v>
      </c>
      <c r="AF38" s="58">
        <f t="shared" si="25"/>
        <v>9618173.771999998</v>
      </c>
      <c r="AG38" s="58">
        <f t="shared" si="25"/>
        <v>9783246.220999999</v>
      </c>
      <c r="AH38" s="58">
        <f t="shared" si="25"/>
        <v>9073239.8089999985</v>
      </c>
      <c r="AI38" s="58">
        <f t="shared" si="25"/>
        <v>9351721.4960000012</v>
      </c>
      <c r="AJ38" s="58">
        <f t="shared" si="25"/>
        <v>0</v>
      </c>
      <c r="AK38" s="58">
        <f t="shared" si="25"/>
        <v>9932510.3310000021</v>
      </c>
    </row>
    <row r="39" spans="1:37" ht="12.75" customHeight="1">
      <c r="A39" s="6" t="s">
        <v>94</v>
      </c>
      <c r="T39" s="51"/>
      <c r="AA39" s="10">
        <v>0</v>
      </c>
      <c r="AD39" s="1">
        <v>0</v>
      </c>
      <c r="AF39" s="1">
        <v>0</v>
      </c>
      <c r="AH39" s="1">
        <v>0</v>
      </c>
      <c r="AI39" s="1">
        <v>0</v>
      </c>
    </row>
    <row r="40" spans="1:37" ht="12.75" customHeight="1">
      <c r="A40" s="1" t="s">
        <v>52</v>
      </c>
      <c r="J40" s="157">
        <v>993633.201</v>
      </c>
      <c r="M40" s="1">
        <v>1069239.2579999999</v>
      </c>
      <c r="O40" s="1">
        <v>1203816.125</v>
      </c>
      <c r="R40" s="20">
        <v>1333639.21</v>
      </c>
      <c r="S40" s="1">
        <v>1415970.548</v>
      </c>
      <c r="T40" s="51">
        <v>1456328.8740000001</v>
      </c>
      <c r="U40" s="1">
        <v>1356733.1159999999</v>
      </c>
      <c r="V40" s="1">
        <v>1422855.7180000001</v>
      </c>
      <c r="W40" s="157">
        <v>1250475.183</v>
      </c>
      <c r="X40" s="157">
        <v>1249354.5179999999</v>
      </c>
      <c r="Y40" s="157">
        <v>1275420.2339999999</v>
      </c>
      <c r="Z40" s="157">
        <v>1319428.851</v>
      </c>
      <c r="AA40" s="157">
        <v>1338621.446</v>
      </c>
      <c r="AB40" s="157">
        <v>1335479.0430000001</v>
      </c>
      <c r="AC40" s="157">
        <v>1330349</v>
      </c>
      <c r="AD40" s="1">
        <v>1339809.297</v>
      </c>
      <c r="AE40" s="1">
        <v>1318806.8670000001</v>
      </c>
      <c r="AF40" s="1">
        <v>1284662.4790000001</v>
      </c>
      <c r="AG40" s="1">
        <v>1192980.767</v>
      </c>
      <c r="AH40" s="1">
        <v>321272.01699999999</v>
      </c>
      <c r="AI40" s="1">
        <v>572887.25</v>
      </c>
      <c r="AK40" s="1">
        <v>1022918.595</v>
      </c>
    </row>
    <row r="41" spans="1:37" ht="12.75" customHeight="1">
      <c r="A41" s="1" t="s">
        <v>53</v>
      </c>
      <c r="J41" s="157">
        <v>834341.48699999996</v>
      </c>
      <c r="M41" s="1">
        <v>842732.69</v>
      </c>
      <c r="O41" s="1">
        <v>921073.24600000004</v>
      </c>
      <c r="R41" s="20">
        <v>1081126.8540000001</v>
      </c>
      <c r="S41" s="1">
        <v>1117576.3770000001</v>
      </c>
      <c r="T41" s="51">
        <v>1107162.112</v>
      </c>
      <c r="U41" s="1">
        <v>1119188.818</v>
      </c>
      <c r="V41" s="1">
        <v>1168285.4569999999</v>
      </c>
      <c r="W41" s="157">
        <v>1193900.297</v>
      </c>
      <c r="X41" s="157">
        <v>1188447.567</v>
      </c>
      <c r="Y41" s="157">
        <v>1202616.9169999999</v>
      </c>
      <c r="Z41" s="157">
        <v>1253653.5009999999</v>
      </c>
      <c r="AA41" s="157">
        <v>1280846.554</v>
      </c>
      <c r="AB41" s="157">
        <v>1244476.902</v>
      </c>
      <c r="AC41" s="157">
        <v>1236909</v>
      </c>
      <c r="AD41" s="1">
        <v>1199600.2239999999</v>
      </c>
      <c r="AE41" s="1">
        <v>1133909.4990000001</v>
      </c>
      <c r="AF41" s="1">
        <v>1172673.54</v>
      </c>
      <c r="AG41" s="1">
        <v>1192717.398</v>
      </c>
      <c r="AH41" s="1">
        <v>1274588.2749999999</v>
      </c>
      <c r="AI41" s="1">
        <v>1273609.5889999999</v>
      </c>
      <c r="AK41" s="1">
        <v>1267843.615</v>
      </c>
    </row>
    <row r="42" spans="1:37" ht="12.75" customHeight="1">
      <c r="A42" s="1" t="s">
        <v>54</v>
      </c>
      <c r="J42" s="157">
        <v>425418.20400000003</v>
      </c>
      <c r="M42" s="1">
        <v>498693.72100000002</v>
      </c>
      <c r="O42" s="1">
        <v>551602.23600000003</v>
      </c>
      <c r="R42" s="20">
        <v>636464.23899999994</v>
      </c>
      <c r="S42" s="1">
        <v>656127.31799999997</v>
      </c>
      <c r="T42" s="51">
        <v>649878.74800000002</v>
      </c>
      <c r="U42" s="1">
        <v>631218.70700000005</v>
      </c>
      <c r="V42" s="1">
        <v>598667.81799999997</v>
      </c>
      <c r="W42" s="157">
        <v>598278.15300000005</v>
      </c>
      <c r="X42" s="157">
        <v>626490.43799999997</v>
      </c>
      <c r="Y42" s="157">
        <v>650417.78599999996</v>
      </c>
      <c r="Z42" s="157">
        <v>711009.81799999997</v>
      </c>
      <c r="AA42" s="157">
        <v>679974.42700000003</v>
      </c>
      <c r="AB42" s="157">
        <v>603828.74</v>
      </c>
      <c r="AC42" s="157">
        <v>548779</v>
      </c>
      <c r="AD42" s="1">
        <v>521048.96</v>
      </c>
      <c r="AE42" s="1">
        <v>544762.21</v>
      </c>
      <c r="AF42" s="1">
        <v>579238.72199999995</v>
      </c>
      <c r="AG42" s="1">
        <v>593867.97499999998</v>
      </c>
      <c r="AH42" s="1">
        <v>596395.14800000004</v>
      </c>
      <c r="AI42" s="1">
        <v>581279.63600000006</v>
      </c>
      <c r="AK42" s="1">
        <v>568135.04599999997</v>
      </c>
    </row>
    <row r="43" spans="1:37" ht="12.75" customHeight="1">
      <c r="A43" s="1" t="s">
        <v>55</v>
      </c>
      <c r="J43" s="157">
        <v>395951.446</v>
      </c>
      <c r="M43" s="1">
        <v>437830.87400000001</v>
      </c>
      <c r="O43" s="1">
        <v>456958.81438</v>
      </c>
      <c r="R43" s="20">
        <v>547884.61100000003</v>
      </c>
      <c r="S43" s="1">
        <v>565097.522</v>
      </c>
      <c r="T43" s="51">
        <v>584004.18700000003</v>
      </c>
      <c r="U43" s="1">
        <v>555854.58200000005</v>
      </c>
      <c r="V43" s="1">
        <v>558037.61100000003</v>
      </c>
      <c r="W43" s="157">
        <v>577903.84299999999</v>
      </c>
      <c r="X43" s="157">
        <v>607743.93400000001</v>
      </c>
      <c r="Y43" s="157">
        <v>628991.44499999995</v>
      </c>
      <c r="Z43" s="157">
        <v>654621.93700000003</v>
      </c>
      <c r="AA43" s="157">
        <v>626675.40500000003</v>
      </c>
      <c r="AB43" s="157">
        <v>594378.54099999997</v>
      </c>
      <c r="AC43" s="157">
        <v>603651</v>
      </c>
      <c r="AD43" s="1">
        <v>588009.41500000004</v>
      </c>
      <c r="AE43" s="1">
        <v>594343.66200000001</v>
      </c>
      <c r="AF43" s="1">
        <v>578806.09299999999</v>
      </c>
      <c r="AG43" s="1">
        <v>594262.00600000005</v>
      </c>
      <c r="AH43" s="1">
        <v>578390.91</v>
      </c>
      <c r="AI43" s="1">
        <v>580492.20799999998</v>
      </c>
      <c r="AK43" s="1">
        <v>599204.26800000004</v>
      </c>
    </row>
    <row r="44" spans="1:37" ht="12.75" customHeight="1">
      <c r="A44" s="1" t="s">
        <v>56</v>
      </c>
      <c r="J44" s="157">
        <v>1240247.8230000001</v>
      </c>
      <c r="M44" s="1">
        <v>1243016.6200000001</v>
      </c>
      <c r="O44" s="1">
        <v>1376089.855</v>
      </c>
      <c r="R44" s="20">
        <v>1577126.439</v>
      </c>
      <c r="S44" s="1">
        <v>1678040.4269999999</v>
      </c>
      <c r="T44" s="51">
        <v>1687333.192</v>
      </c>
      <c r="U44" s="1">
        <v>1626287.0859999999</v>
      </c>
      <c r="V44" s="1">
        <v>1458621.0959999999</v>
      </c>
      <c r="W44" s="157">
        <v>1520640.4680000001</v>
      </c>
      <c r="X44" s="157">
        <v>1493217.5449999999</v>
      </c>
      <c r="Y44" s="157">
        <v>1361786.3729999999</v>
      </c>
      <c r="Z44" s="157">
        <v>1650119.3570000001</v>
      </c>
      <c r="AA44" s="157">
        <v>1531265.084</v>
      </c>
      <c r="AB44" s="157">
        <v>1492197.074</v>
      </c>
      <c r="AC44" s="157">
        <v>1420201</v>
      </c>
      <c r="AD44" s="1">
        <v>1207194.209</v>
      </c>
      <c r="AE44" s="1">
        <v>1243571.8759999999</v>
      </c>
      <c r="AF44" s="1">
        <v>1267097.1200000001</v>
      </c>
      <c r="AG44" s="1">
        <v>1345076.51</v>
      </c>
      <c r="AH44" s="1">
        <v>1361865.382</v>
      </c>
      <c r="AI44" s="1">
        <v>1404317.827</v>
      </c>
      <c r="AK44" s="1">
        <v>1461526.6470000001</v>
      </c>
    </row>
    <row r="45" spans="1:37" ht="12.75" customHeight="1">
      <c r="A45" s="1" t="s">
        <v>57</v>
      </c>
      <c r="J45" s="157">
        <v>605269.71299999999</v>
      </c>
      <c r="M45" s="1">
        <v>621137.77300000004</v>
      </c>
      <c r="O45" s="1">
        <v>660875.88899999997</v>
      </c>
      <c r="R45" s="20">
        <v>807378.03700000001</v>
      </c>
      <c r="S45" s="1">
        <v>843829.90300000005</v>
      </c>
      <c r="T45" s="51">
        <v>878327.27399999998</v>
      </c>
      <c r="U45" s="1">
        <v>871340.47400000005</v>
      </c>
      <c r="V45" s="1">
        <v>799918.16500000004</v>
      </c>
      <c r="W45" s="157">
        <v>767539.91500000004</v>
      </c>
      <c r="X45" s="157">
        <v>855266.147</v>
      </c>
      <c r="Y45" s="157">
        <v>883569.17599999998</v>
      </c>
      <c r="Z45" s="157">
        <v>1000507.058</v>
      </c>
      <c r="AA45" s="157">
        <v>969365.39199999999</v>
      </c>
      <c r="AB45" s="157">
        <v>886753.38399999996</v>
      </c>
      <c r="AC45" s="157">
        <v>853493</v>
      </c>
      <c r="AD45" s="1">
        <v>780334.27800000005</v>
      </c>
      <c r="AE45" s="1">
        <v>785091.30900000001</v>
      </c>
      <c r="AF45" s="1">
        <v>842292.50600000005</v>
      </c>
      <c r="AG45" s="1">
        <v>882541.26500000001</v>
      </c>
      <c r="AH45" s="1">
        <v>922207.70299999998</v>
      </c>
      <c r="AI45" s="1">
        <v>909094.59600000002</v>
      </c>
      <c r="AK45" s="1">
        <v>945683.65300000005</v>
      </c>
    </row>
    <row r="46" spans="1:37" ht="12.75" customHeight="1">
      <c r="A46" s="1" t="s">
        <v>58</v>
      </c>
      <c r="J46" s="157">
        <v>443154.52100000001</v>
      </c>
      <c r="M46" s="1">
        <v>513507.11099999998</v>
      </c>
      <c r="O46" s="1">
        <v>617306.28300000005</v>
      </c>
      <c r="R46" s="20">
        <v>694059.51699999999</v>
      </c>
      <c r="S46" s="1">
        <v>915940.152</v>
      </c>
      <c r="T46" s="51">
        <v>656231.63399999996</v>
      </c>
      <c r="U46" s="1">
        <v>671978.17799999996</v>
      </c>
      <c r="V46" s="1">
        <v>662293.00600000005</v>
      </c>
      <c r="W46" s="157">
        <v>694971.1</v>
      </c>
      <c r="X46" s="157">
        <v>700568.98600000003</v>
      </c>
      <c r="Y46" s="157">
        <v>717480.14300000004</v>
      </c>
      <c r="Z46" s="157">
        <v>753792.89899999998</v>
      </c>
      <c r="AA46" s="157">
        <v>795143.88800000004</v>
      </c>
      <c r="AB46" s="157">
        <v>811895.47100000002</v>
      </c>
      <c r="AC46" s="157">
        <v>737586</v>
      </c>
      <c r="AD46" s="1">
        <v>676269.27599999995</v>
      </c>
      <c r="AE46" s="1">
        <v>680444.43</v>
      </c>
      <c r="AF46" s="1">
        <v>694721.98800000001</v>
      </c>
      <c r="AG46" s="1">
        <v>736723.00199999998</v>
      </c>
      <c r="AH46" s="1">
        <v>743453.23600000003</v>
      </c>
      <c r="AI46" s="1">
        <v>713320.83700000006</v>
      </c>
      <c r="AK46" s="1">
        <v>702252.82499999995</v>
      </c>
    </row>
    <row r="47" spans="1:37" ht="12.75" customHeight="1">
      <c r="A47" s="1" t="s">
        <v>59</v>
      </c>
      <c r="J47" s="157">
        <v>295481.78000000003</v>
      </c>
      <c r="M47" s="1">
        <v>321502.424</v>
      </c>
      <c r="O47" s="1">
        <v>354538.239</v>
      </c>
      <c r="R47" s="27">
        <v>390736.01199999999</v>
      </c>
      <c r="S47" s="1">
        <v>410472.99900000001</v>
      </c>
      <c r="T47" s="51">
        <v>433679.92</v>
      </c>
      <c r="U47" s="1">
        <v>435292.53200000001</v>
      </c>
      <c r="V47" s="1">
        <v>413917.30300000001</v>
      </c>
      <c r="W47" s="157">
        <v>422868.88400000002</v>
      </c>
      <c r="X47" s="157">
        <v>449200.58199999999</v>
      </c>
      <c r="Y47" s="157">
        <v>477964.01500000001</v>
      </c>
      <c r="Z47" s="157">
        <v>493249.70799999998</v>
      </c>
      <c r="AA47" s="157">
        <v>383437.56099999999</v>
      </c>
      <c r="AB47" s="157">
        <v>518630.288</v>
      </c>
      <c r="AC47" s="157">
        <v>516993</v>
      </c>
      <c r="AD47" s="1">
        <v>513526.842</v>
      </c>
      <c r="AE47" s="1">
        <v>526046.446</v>
      </c>
      <c r="AF47" s="1">
        <v>557014.22499999998</v>
      </c>
      <c r="AG47" s="1">
        <v>579078.67200000002</v>
      </c>
      <c r="AH47" s="1">
        <v>588532.94099999999</v>
      </c>
      <c r="AI47" s="1">
        <v>605874.76599999995</v>
      </c>
      <c r="AK47" s="1">
        <v>597373.04</v>
      </c>
    </row>
    <row r="48" spans="1:37" ht="12.75" customHeight="1">
      <c r="A48" s="1" t="s">
        <v>60</v>
      </c>
      <c r="J48" s="157">
        <v>118911.268</v>
      </c>
      <c r="M48" s="1">
        <v>127600.40399999999</v>
      </c>
      <c r="O48" s="1">
        <v>131797.90100000001</v>
      </c>
      <c r="R48" s="20">
        <v>141948.63399999999</v>
      </c>
      <c r="S48" s="1">
        <v>161197.85999999999</v>
      </c>
      <c r="T48" s="51">
        <v>156669.223</v>
      </c>
      <c r="U48" s="1">
        <v>166589.48300000001</v>
      </c>
      <c r="V48" s="1">
        <v>146561.57199999999</v>
      </c>
      <c r="W48" s="157">
        <v>160719.723</v>
      </c>
      <c r="X48" s="157">
        <v>165835.00099999999</v>
      </c>
      <c r="Y48" s="157">
        <v>180645.65900000001</v>
      </c>
      <c r="Z48" s="157">
        <v>202259.31899999999</v>
      </c>
      <c r="AA48" s="157">
        <v>209948.84400000001</v>
      </c>
      <c r="AB48" s="157">
        <v>229769.90900000001</v>
      </c>
      <c r="AC48" s="157">
        <v>229068</v>
      </c>
      <c r="AD48" s="1">
        <v>232857.89300000001</v>
      </c>
      <c r="AE48" s="1">
        <v>268347.67099999997</v>
      </c>
      <c r="AF48" s="1">
        <v>276125.87900000002</v>
      </c>
      <c r="AG48" s="1">
        <v>285078.777</v>
      </c>
      <c r="AH48" s="1">
        <v>297602.261</v>
      </c>
      <c r="AI48" s="1">
        <v>283585.11599999998</v>
      </c>
      <c r="AK48" s="1">
        <v>261737.073</v>
      </c>
    </row>
    <row r="49" spans="1:37" ht="12.75" customHeight="1">
      <c r="A49" s="1" t="s">
        <v>61</v>
      </c>
      <c r="J49" s="157">
        <v>1094864.598</v>
      </c>
      <c r="M49" s="1">
        <v>1160633.835</v>
      </c>
      <c r="O49" s="1">
        <v>1298796.5830000001</v>
      </c>
      <c r="R49" s="20">
        <v>1467549.51</v>
      </c>
      <c r="S49" s="1">
        <v>1523754.602</v>
      </c>
      <c r="T49" s="51">
        <v>1520538.976</v>
      </c>
      <c r="U49" s="1">
        <v>1459688.1070000001</v>
      </c>
      <c r="V49" s="1">
        <v>1469930.9739999999</v>
      </c>
      <c r="W49" s="157">
        <v>1457183.9509999999</v>
      </c>
      <c r="X49" s="157">
        <v>1451792.28</v>
      </c>
      <c r="Y49" s="157">
        <v>1478499.3729999999</v>
      </c>
      <c r="Z49" s="157">
        <v>1544241.281</v>
      </c>
      <c r="AA49" s="157">
        <v>1562873.55</v>
      </c>
      <c r="AB49" s="157">
        <v>1393837.706</v>
      </c>
      <c r="AC49" s="157">
        <v>1418113</v>
      </c>
      <c r="AD49" s="1">
        <v>1383837.8589999999</v>
      </c>
      <c r="AE49" s="1">
        <v>1362970.382</v>
      </c>
      <c r="AF49" s="1">
        <v>1393891.28</v>
      </c>
      <c r="AG49" s="1">
        <v>1421365.2860000001</v>
      </c>
      <c r="AH49" s="1">
        <v>1509113.5719999999</v>
      </c>
      <c r="AI49" s="1">
        <v>1549827.554</v>
      </c>
      <c r="AK49" s="1">
        <v>1545913.845</v>
      </c>
    </row>
    <row r="50" spans="1:37" ht="12.75" customHeight="1">
      <c r="A50" s="1" t="s">
        <v>62</v>
      </c>
      <c r="J50" s="157">
        <v>87443.3</v>
      </c>
      <c r="M50" s="1">
        <v>99059.543000000005</v>
      </c>
      <c r="O50" s="1">
        <v>103307.47199999999</v>
      </c>
      <c r="R50" s="20">
        <v>118417.02800000001</v>
      </c>
      <c r="S50" s="1">
        <v>119041.348</v>
      </c>
      <c r="T50" s="51">
        <v>128326.33100000001</v>
      </c>
      <c r="U50" s="1">
        <v>130107.446</v>
      </c>
      <c r="V50" s="1">
        <v>133242.81</v>
      </c>
      <c r="W50" s="157">
        <v>137912.03200000001</v>
      </c>
      <c r="X50" s="157">
        <v>143069.671</v>
      </c>
      <c r="Y50" s="157">
        <v>152834.78</v>
      </c>
      <c r="Z50" s="157">
        <v>159061.42300000001</v>
      </c>
      <c r="AA50" s="157">
        <v>154337.02299999999</v>
      </c>
      <c r="AB50" s="157">
        <v>152065.48300000001</v>
      </c>
      <c r="AC50" s="157">
        <v>144300</v>
      </c>
      <c r="AD50" s="1">
        <v>146999.614</v>
      </c>
      <c r="AE50" s="1">
        <v>155452.69099999999</v>
      </c>
      <c r="AF50" s="1">
        <v>166297.802</v>
      </c>
      <c r="AG50" s="1">
        <v>171510.78200000001</v>
      </c>
      <c r="AH50" s="1">
        <v>172609.12400000001</v>
      </c>
      <c r="AI50" s="1">
        <v>178317.49900000001</v>
      </c>
      <c r="AK50" s="1">
        <v>182513.902</v>
      </c>
    </row>
    <row r="51" spans="1:37" ht="12.75" customHeight="1">
      <c r="A51" s="30" t="s">
        <v>63</v>
      </c>
      <c r="B51" s="30"/>
      <c r="C51" s="30"/>
      <c r="D51" s="30"/>
      <c r="E51" s="30"/>
      <c r="F51" s="30"/>
      <c r="G51" s="30"/>
      <c r="H51" s="30"/>
      <c r="I51" s="30"/>
      <c r="J51" s="158">
        <v>729653.66599999997</v>
      </c>
      <c r="K51" s="30"/>
      <c r="L51" s="30"/>
      <c r="M51" s="30">
        <v>771586.89</v>
      </c>
      <c r="N51" s="30"/>
      <c r="O51" s="30">
        <v>795350.27399999998</v>
      </c>
      <c r="P51" s="30"/>
      <c r="Q51" s="30"/>
      <c r="R51" s="40">
        <v>870989.54200000002</v>
      </c>
      <c r="S51" s="30">
        <v>958900.55799999996</v>
      </c>
      <c r="T51" s="68">
        <v>845114.86399999994</v>
      </c>
      <c r="U51" s="30">
        <v>879348.08299999998</v>
      </c>
      <c r="V51" s="30">
        <v>800748.38300000003</v>
      </c>
      <c r="W51" s="158">
        <v>798324.70499999996</v>
      </c>
      <c r="X51" s="158">
        <v>785010.84100000001</v>
      </c>
      <c r="Y51" s="158">
        <v>821867.53</v>
      </c>
      <c r="Z51" s="158">
        <v>860791.74300000002</v>
      </c>
      <c r="AA51" s="158">
        <v>917357.72900000005</v>
      </c>
      <c r="AB51" s="158">
        <v>857729.08900000004</v>
      </c>
      <c r="AC51" s="158">
        <v>900175</v>
      </c>
      <c r="AD51" s="30">
        <v>733628.26899999997</v>
      </c>
      <c r="AE51" s="30">
        <v>774249.52599999995</v>
      </c>
      <c r="AF51" s="30">
        <v>805352.13800000004</v>
      </c>
      <c r="AG51" s="30">
        <v>788043.78099999996</v>
      </c>
      <c r="AH51" s="30">
        <v>707209.24</v>
      </c>
      <c r="AI51" s="30">
        <v>699114.61800000002</v>
      </c>
      <c r="AJ51" s="30"/>
      <c r="AK51" s="30">
        <v>777407.82200000004</v>
      </c>
    </row>
    <row r="52" spans="1:37" ht="12.75" customHeight="1">
      <c r="A52" s="6" t="s">
        <v>64</v>
      </c>
      <c r="J52" s="58">
        <f t="shared" ref="J52" si="26">SUM(J54:J62)</f>
        <v>4112509.3930000002</v>
      </c>
      <c r="M52" s="58">
        <f t="shared" ref="M52" si="27">SUM(M54:M62)</f>
        <v>4670819.8590000002</v>
      </c>
      <c r="O52" s="58">
        <f>SUM(O54:O62)</f>
        <v>5010168.9799999986</v>
      </c>
      <c r="R52" s="58">
        <f t="shared" ref="R52:AK52" si="28">SUM(R54:R62)</f>
        <v>5347615.9820000008</v>
      </c>
      <c r="S52" s="58">
        <f t="shared" si="28"/>
        <v>5507265.2210000008</v>
      </c>
      <c r="T52" s="67">
        <f t="shared" si="28"/>
        <v>5671303.6420000009</v>
      </c>
      <c r="U52" s="58">
        <f t="shared" si="28"/>
        <v>5068328.8029999994</v>
      </c>
      <c r="V52" s="58">
        <f t="shared" si="28"/>
        <v>5097720.9440000011</v>
      </c>
      <c r="W52" s="58">
        <f t="shared" si="28"/>
        <v>5877253.3300000001</v>
      </c>
      <c r="X52" s="58">
        <f t="shared" si="28"/>
        <v>6554964.277999999</v>
      </c>
      <c r="Y52" s="58">
        <f t="shared" si="28"/>
        <v>7092419.5729999999</v>
      </c>
      <c r="Z52" s="58">
        <f t="shared" si="28"/>
        <v>7504503.7889999999</v>
      </c>
      <c r="AA52" s="58">
        <f t="shared" si="28"/>
        <v>6292623.6940000001</v>
      </c>
      <c r="AB52" s="58">
        <f t="shared" si="28"/>
        <v>7209679.4630000005</v>
      </c>
      <c r="AC52" s="58">
        <f t="shared" si="28"/>
        <v>7259350</v>
      </c>
      <c r="AD52" s="58">
        <f t="shared" si="28"/>
        <v>7006894.1620000005</v>
      </c>
      <c r="AE52" s="58">
        <f t="shared" si="28"/>
        <v>6205671.9699999997</v>
      </c>
      <c r="AF52" s="58">
        <f t="shared" si="28"/>
        <v>7154566.0720000006</v>
      </c>
      <c r="AG52" s="58">
        <f t="shared" si="28"/>
        <v>7392945.9959999993</v>
      </c>
      <c r="AH52" s="58">
        <f t="shared" si="28"/>
        <v>8345729.989000001</v>
      </c>
      <c r="AI52" s="58">
        <f t="shared" si="28"/>
        <v>8294107.2740000011</v>
      </c>
      <c r="AJ52" s="58">
        <f t="shared" si="28"/>
        <v>0</v>
      </c>
      <c r="AK52" s="58">
        <f t="shared" si="28"/>
        <v>9004564.3249999993</v>
      </c>
    </row>
    <row r="53" spans="1:37" ht="12.75" customHeight="1">
      <c r="A53" s="6" t="s">
        <v>94</v>
      </c>
      <c r="T53" s="51"/>
      <c r="AA53" s="10">
        <v>0</v>
      </c>
      <c r="AD53" s="1">
        <v>0</v>
      </c>
      <c r="AF53" s="1">
        <v>0</v>
      </c>
      <c r="AH53" s="1">
        <v>0</v>
      </c>
      <c r="AI53" s="1">
        <v>0</v>
      </c>
    </row>
    <row r="54" spans="1:37" ht="12.75" customHeight="1">
      <c r="A54" s="1" t="s">
        <v>65</v>
      </c>
      <c r="J54" s="157">
        <v>271791.02899999998</v>
      </c>
      <c r="M54" s="1">
        <v>370893.97600000002</v>
      </c>
      <c r="O54" s="1">
        <v>358512.05099999998</v>
      </c>
      <c r="R54" s="20">
        <v>529849.15</v>
      </c>
      <c r="S54" s="1">
        <v>519353.10200000001</v>
      </c>
      <c r="T54" s="51">
        <v>556563.84100000001</v>
      </c>
      <c r="U54" s="1">
        <v>553732.01</v>
      </c>
      <c r="V54" s="1">
        <v>560897.07400000002</v>
      </c>
      <c r="W54" s="157">
        <v>590555.81099999999</v>
      </c>
      <c r="X54" s="157">
        <v>624219.09100000001</v>
      </c>
      <c r="Y54" s="157">
        <v>682950.13399999996</v>
      </c>
      <c r="Z54" s="157">
        <v>752967.84400000004</v>
      </c>
      <c r="AA54" s="157">
        <v>767428.16500000004</v>
      </c>
      <c r="AB54" s="157">
        <v>772124.73400000005</v>
      </c>
      <c r="AC54" s="157">
        <v>792583</v>
      </c>
      <c r="AD54" s="1">
        <v>689483.28099999996</v>
      </c>
      <c r="AE54" s="1">
        <v>716301.19299999997</v>
      </c>
      <c r="AF54" s="1">
        <v>831167.49399999995</v>
      </c>
      <c r="AG54" s="1">
        <v>909060.04799999995</v>
      </c>
      <c r="AH54" s="1">
        <v>966671.26199999999</v>
      </c>
      <c r="AI54" s="1">
        <v>925024.15</v>
      </c>
      <c r="AK54" s="1">
        <v>886225.73</v>
      </c>
    </row>
    <row r="55" spans="1:37" ht="12.75" customHeight="1">
      <c r="A55" s="1" t="s">
        <v>66</v>
      </c>
      <c r="J55" s="157">
        <v>119046.15399999999</v>
      </c>
      <c r="M55" s="1">
        <v>123600.692</v>
      </c>
      <c r="O55" s="1">
        <v>142023.628</v>
      </c>
      <c r="R55" s="20">
        <v>150530.073</v>
      </c>
      <c r="S55" s="1">
        <v>160082.484</v>
      </c>
      <c r="T55" s="51">
        <v>166925.38500000001</v>
      </c>
      <c r="U55" s="1">
        <v>169162.37899999999</v>
      </c>
      <c r="V55" s="1">
        <v>167295.93799999999</v>
      </c>
      <c r="W55" s="157">
        <v>172349.28099999999</v>
      </c>
      <c r="X55" s="157">
        <v>176327.82</v>
      </c>
      <c r="Y55" s="157">
        <v>183586.54699999999</v>
      </c>
      <c r="Z55" s="157">
        <v>193714.47399999999</v>
      </c>
      <c r="AA55" s="157">
        <v>188108.93900000001</v>
      </c>
      <c r="AB55" s="157">
        <v>184394.02499999999</v>
      </c>
      <c r="AC55" s="157">
        <v>188029</v>
      </c>
      <c r="AD55" s="1">
        <v>186580.70600000001</v>
      </c>
      <c r="AE55" s="1">
        <v>182060.60800000001</v>
      </c>
      <c r="AF55" s="1">
        <v>184960.33799999999</v>
      </c>
      <c r="AG55" s="1">
        <v>183035.19</v>
      </c>
      <c r="AH55" s="1">
        <v>193811.39199999999</v>
      </c>
      <c r="AI55" s="1">
        <v>206918.32399999999</v>
      </c>
      <c r="AK55" s="1">
        <v>213088.522</v>
      </c>
    </row>
    <row r="56" spans="1:37" ht="12.75" customHeight="1">
      <c r="A56" s="1" t="s">
        <v>67</v>
      </c>
      <c r="J56" s="157">
        <v>352106.56599999999</v>
      </c>
      <c r="M56" s="1">
        <v>450947.837</v>
      </c>
      <c r="O56" s="1">
        <v>529800.13199999998</v>
      </c>
      <c r="R56" s="20">
        <v>653665.70299999998</v>
      </c>
      <c r="S56" s="1">
        <v>728699.39800000004</v>
      </c>
      <c r="T56" s="51">
        <v>686236.79299999995</v>
      </c>
      <c r="U56" s="1">
        <v>653333.80799999996</v>
      </c>
      <c r="V56" s="1">
        <v>585624.70600000001</v>
      </c>
      <c r="W56" s="157">
        <v>686303.60900000005</v>
      </c>
      <c r="X56" s="157">
        <v>762052.37399999995</v>
      </c>
      <c r="Y56" s="157">
        <v>839350.71200000006</v>
      </c>
      <c r="Z56" s="157">
        <v>896190.87399999995</v>
      </c>
      <c r="AA56" s="157">
        <v>703868.13399999996</v>
      </c>
      <c r="AB56" s="157">
        <v>655418.90300000005</v>
      </c>
      <c r="AC56" s="157">
        <v>750007</v>
      </c>
      <c r="AD56" s="1">
        <v>755465.74100000004</v>
      </c>
      <c r="AE56" s="1">
        <v>763165.71799999999</v>
      </c>
      <c r="AF56" s="1">
        <v>857246.13399999996</v>
      </c>
      <c r="AG56" s="1">
        <v>924444.36100000003</v>
      </c>
      <c r="AH56" s="1">
        <v>986760.82499999995</v>
      </c>
      <c r="AI56" s="1">
        <v>1054473.277</v>
      </c>
      <c r="AK56" s="1">
        <v>1154423.683</v>
      </c>
    </row>
    <row r="57" spans="1:37" ht="12.75" customHeight="1">
      <c r="A57" s="1" t="s">
        <v>68</v>
      </c>
      <c r="J57" s="157">
        <v>54040</v>
      </c>
      <c r="M57" s="1">
        <v>63500</v>
      </c>
      <c r="O57" s="1">
        <v>63750</v>
      </c>
      <c r="R57" s="27">
        <v>71766.997000000003</v>
      </c>
      <c r="S57" s="1">
        <v>75365.349000000002</v>
      </c>
      <c r="T57" s="51">
        <v>79133.611000000004</v>
      </c>
      <c r="U57" s="1">
        <v>83090.297999999995</v>
      </c>
      <c r="V57" s="1">
        <v>83090.274999999994</v>
      </c>
      <c r="W57" s="157">
        <v>85583</v>
      </c>
      <c r="X57" s="157">
        <v>87450</v>
      </c>
      <c r="Y57" s="157">
        <v>92250</v>
      </c>
      <c r="Z57" s="157">
        <v>96000</v>
      </c>
      <c r="AA57" s="157">
        <v>97286.043999999994</v>
      </c>
      <c r="AB57" s="157">
        <v>97286</v>
      </c>
      <c r="AC57" s="157">
        <v>97286</v>
      </c>
      <c r="AD57" s="1">
        <v>50950.071000000004</v>
      </c>
      <c r="AE57" s="1">
        <v>53647.218000000001</v>
      </c>
      <c r="AF57" s="1">
        <v>69000</v>
      </c>
      <c r="AG57" s="1">
        <v>81000</v>
      </c>
      <c r="AH57" s="1">
        <v>81000</v>
      </c>
      <c r="AI57" s="1">
        <v>81000</v>
      </c>
      <c r="AK57" s="1">
        <v>81000</v>
      </c>
    </row>
    <row r="58" spans="1:37" ht="12.75" customHeight="1">
      <c r="A58" s="1" t="s">
        <v>69</v>
      </c>
      <c r="J58" s="157">
        <v>507926.19</v>
      </c>
      <c r="M58" s="1">
        <v>563432.69499999995</v>
      </c>
      <c r="O58" s="1">
        <v>941797.03899999999</v>
      </c>
      <c r="R58" s="27">
        <v>627095.71699999995</v>
      </c>
      <c r="S58" s="1">
        <v>665270.36300000001</v>
      </c>
      <c r="T58" s="51">
        <v>708251.67500000005</v>
      </c>
      <c r="U58" s="1">
        <v>782728.23800000001</v>
      </c>
      <c r="V58" s="1">
        <v>810223.054</v>
      </c>
      <c r="W58" s="157">
        <v>1384544.7930000001</v>
      </c>
      <c r="X58" s="157">
        <v>1481630.659</v>
      </c>
      <c r="Y58" s="157">
        <v>1407349.9040000001</v>
      </c>
      <c r="Z58" s="157">
        <v>1436349.746</v>
      </c>
      <c r="AA58" s="157">
        <v>973603.88300000003</v>
      </c>
      <c r="AB58" s="157">
        <v>1409728.0160000001</v>
      </c>
      <c r="AC58" s="157">
        <v>1358685</v>
      </c>
      <c r="AD58" s="1">
        <v>1360176.3959999999</v>
      </c>
      <c r="AE58" s="1">
        <v>991492.22</v>
      </c>
      <c r="AF58" s="1">
        <v>1434487.9920000001</v>
      </c>
      <c r="AG58" s="1">
        <v>1425894.628</v>
      </c>
      <c r="AH58" s="1">
        <v>1411443.017</v>
      </c>
      <c r="AI58" s="1">
        <v>1454737.9790000001</v>
      </c>
      <c r="AK58" s="1">
        <v>1613458.504</v>
      </c>
    </row>
    <row r="59" spans="1:37" ht="12.75" customHeight="1">
      <c r="A59" s="1" t="s">
        <v>70</v>
      </c>
      <c r="J59" s="157">
        <v>1807941.3289999999</v>
      </c>
      <c r="M59" s="1">
        <v>2022754.6510000001</v>
      </c>
      <c r="O59" s="1">
        <v>1846829.3359999999</v>
      </c>
      <c r="R59" s="27">
        <v>2061103.6810000001</v>
      </c>
      <c r="S59" s="1">
        <v>2241338.8640000001</v>
      </c>
      <c r="T59" s="51">
        <v>2653351.0129999998</v>
      </c>
      <c r="U59" s="1">
        <v>2198161.0129999998</v>
      </c>
      <c r="V59" s="1">
        <v>2295371.5240000002</v>
      </c>
      <c r="W59" s="157">
        <v>2342101.5520000001</v>
      </c>
      <c r="X59" s="157">
        <v>2784401.8369999998</v>
      </c>
      <c r="Y59" s="157">
        <v>3220045.2009999999</v>
      </c>
      <c r="Z59" s="157">
        <v>3453554.1579999998</v>
      </c>
      <c r="AA59" s="157">
        <v>2920233.6880000001</v>
      </c>
      <c r="AB59" s="157">
        <v>3476429.074</v>
      </c>
      <c r="AC59" s="157">
        <v>3461863</v>
      </c>
      <c r="AD59" s="1">
        <v>3396550.5989999999</v>
      </c>
      <c r="AE59" s="1">
        <v>2937525.3059999999</v>
      </c>
      <c r="AF59" s="1">
        <v>3207891.4070000001</v>
      </c>
      <c r="AG59" s="1">
        <v>3291118.8139999998</v>
      </c>
      <c r="AH59" s="1">
        <v>4096995.733</v>
      </c>
      <c r="AI59" s="1">
        <v>3945017.165</v>
      </c>
      <c r="AK59" s="1">
        <v>4397693.9610000001</v>
      </c>
    </row>
    <row r="60" spans="1:37" ht="12.75" customHeight="1">
      <c r="A60" s="1" t="s">
        <v>71</v>
      </c>
      <c r="J60" s="157">
        <v>883121.04299999995</v>
      </c>
      <c r="M60" s="1">
        <v>949940.53899999999</v>
      </c>
      <c r="O60" s="1">
        <v>985571.56599999999</v>
      </c>
      <c r="R60" s="20">
        <v>1094368.118</v>
      </c>
      <c r="S60" s="1">
        <v>946848.75300000003</v>
      </c>
      <c r="T60" s="51">
        <v>641453.76399999997</v>
      </c>
      <c r="U60" s="1">
        <v>448234.65600000002</v>
      </c>
      <c r="V60" s="1">
        <v>413575.48</v>
      </c>
      <c r="W60" s="157">
        <v>431645.51299999998</v>
      </c>
      <c r="X60" s="157">
        <v>452289.16399999999</v>
      </c>
      <c r="Y60" s="157">
        <v>472889.89</v>
      </c>
      <c r="Z60" s="157">
        <v>490033.05499999999</v>
      </c>
      <c r="AA60" s="157">
        <v>483228.663</v>
      </c>
      <c r="AB60" s="157">
        <v>448947.69</v>
      </c>
      <c r="AC60" s="157">
        <v>449669</v>
      </c>
      <c r="AD60" s="1">
        <v>408150.28499999997</v>
      </c>
      <c r="AE60" s="1">
        <v>408349.41800000001</v>
      </c>
      <c r="AF60" s="1">
        <v>407912.08600000001</v>
      </c>
      <c r="AG60" s="1">
        <v>408131.16800000001</v>
      </c>
      <c r="AH60" s="1">
        <v>428146.48499999999</v>
      </c>
      <c r="AI60" s="1">
        <v>439258.15</v>
      </c>
      <c r="AK60" s="1">
        <v>462626.16399999999</v>
      </c>
    </row>
    <row r="61" spans="1:37" ht="12.75" customHeight="1">
      <c r="A61" s="1" t="s">
        <v>72</v>
      </c>
      <c r="J61" s="157">
        <v>82221.581999999995</v>
      </c>
      <c r="M61" s="1">
        <v>89178.240000000005</v>
      </c>
      <c r="O61" s="1">
        <v>100610.895</v>
      </c>
      <c r="R61" s="20">
        <v>114898.44</v>
      </c>
      <c r="S61" s="1">
        <v>121921.40700000001</v>
      </c>
      <c r="T61" s="51">
        <v>127850.16</v>
      </c>
      <c r="U61" s="1">
        <v>125458.436</v>
      </c>
      <c r="V61" s="1">
        <v>126174.212</v>
      </c>
      <c r="W61" s="157">
        <v>126802.71400000001</v>
      </c>
      <c r="X61" s="157">
        <v>127257.182</v>
      </c>
      <c r="Y61" s="157">
        <v>128383.37699999999</v>
      </c>
      <c r="Z61" s="157">
        <v>119736.315</v>
      </c>
      <c r="AA61" s="157">
        <v>102214.30100000001</v>
      </c>
      <c r="AB61" s="157">
        <v>94438.798999999999</v>
      </c>
      <c r="AC61" s="157">
        <v>94186</v>
      </c>
      <c r="AD61" s="1">
        <v>96724.928</v>
      </c>
      <c r="AE61" s="1">
        <v>97341.801999999996</v>
      </c>
      <c r="AF61" s="1">
        <v>103877.156</v>
      </c>
      <c r="AG61" s="1">
        <v>112572.928</v>
      </c>
      <c r="AH61" s="1">
        <v>117006.876</v>
      </c>
      <c r="AI61" s="1">
        <v>123662.92</v>
      </c>
      <c r="AK61" s="1">
        <v>129813.285</v>
      </c>
    </row>
    <row r="62" spans="1:37" ht="12.75" customHeight="1">
      <c r="A62" s="30" t="s">
        <v>73</v>
      </c>
      <c r="B62" s="30"/>
      <c r="C62" s="30"/>
      <c r="D62" s="30"/>
      <c r="E62" s="30"/>
      <c r="F62" s="30"/>
      <c r="G62" s="30"/>
      <c r="H62" s="30"/>
      <c r="I62" s="30"/>
      <c r="J62" s="158">
        <v>34315.5</v>
      </c>
      <c r="K62" s="30"/>
      <c r="L62" s="30"/>
      <c r="M62" s="30">
        <v>36571.228999999999</v>
      </c>
      <c r="N62" s="30"/>
      <c r="O62" s="30">
        <v>41274.332999999999</v>
      </c>
      <c r="P62" s="30"/>
      <c r="Q62" s="30"/>
      <c r="R62" s="40">
        <v>44338.103000000003</v>
      </c>
      <c r="S62" s="30">
        <v>48385.500999999997</v>
      </c>
      <c r="T62" s="68">
        <v>51537.4</v>
      </c>
      <c r="U62" s="30">
        <v>54427.964999999997</v>
      </c>
      <c r="V62" s="30">
        <v>55468.680999999997</v>
      </c>
      <c r="W62" s="158">
        <v>57367.057000000001</v>
      </c>
      <c r="X62" s="158">
        <v>59336.150999999998</v>
      </c>
      <c r="Y62" s="158">
        <v>65613.808000000005</v>
      </c>
      <c r="Z62" s="158">
        <v>65957.323000000004</v>
      </c>
      <c r="AA62" s="158">
        <v>56651.877</v>
      </c>
      <c r="AB62" s="158">
        <v>70912.221999999994</v>
      </c>
      <c r="AC62" s="158">
        <v>67042</v>
      </c>
      <c r="AD62" s="30">
        <v>62812.154999999999</v>
      </c>
      <c r="AE62" s="30">
        <v>55788.487000000001</v>
      </c>
      <c r="AF62" s="30">
        <v>58023.464999999997</v>
      </c>
      <c r="AG62" s="30">
        <v>57688.858999999997</v>
      </c>
      <c r="AH62" s="30">
        <v>63894.398999999998</v>
      </c>
      <c r="AI62" s="30">
        <v>64015.309000000001</v>
      </c>
      <c r="AJ62" s="30"/>
      <c r="AK62" s="30">
        <v>66234.475999999995</v>
      </c>
    </row>
    <row r="63" spans="1:37">
      <c r="A63" s="56" t="s">
        <v>74</v>
      </c>
      <c r="B63" s="53"/>
      <c r="C63" s="53"/>
      <c r="D63" s="53"/>
      <c r="E63" s="53"/>
      <c r="F63" s="53"/>
      <c r="G63" s="53"/>
      <c r="H63" s="53"/>
      <c r="I63" s="53"/>
      <c r="J63" s="159">
        <v>0</v>
      </c>
      <c r="K63" s="53"/>
      <c r="L63" s="53"/>
      <c r="M63" s="53">
        <v>0</v>
      </c>
      <c r="N63" s="53"/>
      <c r="O63" s="53">
        <v>0</v>
      </c>
      <c r="P63" s="53"/>
      <c r="Q63" s="53"/>
      <c r="R63" s="54">
        <v>0</v>
      </c>
      <c r="S63" s="53">
        <v>3018.973</v>
      </c>
      <c r="T63" s="55">
        <v>5266.8729999999996</v>
      </c>
      <c r="U63" s="53">
        <v>4153.665</v>
      </c>
      <c r="V63" s="53">
        <v>4138.7550000000001</v>
      </c>
      <c r="W63" s="159">
        <v>5237.4380000000001</v>
      </c>
      <c r="X63" s="159">
        <v>6553.74</v>
      </c>
      <c r="Y63" s="159">
        <v>6516.4290000000001</v>
      </c>
      <c r="Z63" s="159">
        <v>7549.1760000000004</v>
      </c>
      <c r="AA63" s="159"/>
      <c r="AB63" s="159">
        <v>62070</v>
      </c>
      <c r="AC63" s="159">
        <v>66420</v>
      </c>
      <c r="AD63" s="30">
        <v>67362.122000000003</v>
      </c>
      <c r="AE63" s="30">
        <v>75404.62</v>
      </c>
      <c r="AF63" s="30">
        <v>66690.62</v>
      </c>
      <c r="AG63" s="30">
        <v>73457.573000000004</v>
      </c>
      <c r="AH63" s="30">
        <v>71942.471999999994</v>
      </c>
      <c r="AI63" s="30">
        <v>77670.774000000005</v>
      </c>
      <c r="AJ63" s="30"/>
      <c r="AK63" s="30">
        <v>89003.490999999995</v>
      </c>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6">
    <tabColor indexed="62"/>
  </sheetPr>
  <dimension ref="A1:HB92"/>
  <sheetViews>
    <sheetView zoomScaleNormal="100" workbookViewId="0">
      <pane xSplit="1" ySplit="3" topLeftCell="Y4" activePane="bottomRight" state="frozen"/>
      <selection pane="topRight" activeCell="M5" sqref="M5:M6"/>
      <selection pane="bottomLeft" activeCell="M5" sqref="M5:M6"/>
      <selection pane="bottomRight" activeCell="AK7" sqref="AK7:AK22"/>
    </sheetView>
  </sheetViews>
  <sheetFormatPr defaultColWidth="9.7109375" defaultRowHeight="12.75"/>
  <cols>
    <col min="1" max="1" width="24.7109375" style="1" customWidth="1"/>
    <col min="2" max="22" width="13.85546875" style="1" customWidth="1"/>
    <col min="23" max="29" width="13.85546875" style="10" customWidth="1"/>
    <col min="30" max="31" width="10.7109375" style="1" bestFit="1" customWidth="1"/>
    <col min="32"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154</v>
      </c>
      <c r="B2" s="11"/>
      <c r="C2" s="11"/>
      <c r="D2" s="11"/>
      <c r="E2" s="11"/>
      <c r="F2" s="11"/>
      <c r="G2" s="11"/>
      <c r="H2" s="11"/>
      <c r="I2" s="11"/>
      <c r="J2" s="11"/>
      <c r="K2" s="11"/>
      <c r="L2" s="11"/>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53">
        <f>2474416+2521831</f>
        <v>4996247</v>
      </c>
      <c r="C4" s="53">
        <f>2740895+2718623</f>
        <v>5459518</v>
      </c>
      <c r="D4" s="53">
        <f>3037642+3016686</f>
        <v>6054328</v>
      </c>
      <c r="E4" s="53"/>
      <c r="F4" s="53"/>
      <c r="G4" s="53"/>
      <c r="H4" s="53"/>
      <c r="I4" s="53">
        <v>8957370.4069999997</v>
      </c>
      <c r="J4" s="61">
        <f>+J5+J23+J38+J52+J63</f>
        <v>9915015.925999999</v>
      </c>
      <c r="K4" s="53">
        <v>10964190.148</v>
      </c>
      <c r="L4" s="53">
        <v>11346532.344000001</v>
      </c>
      <c r="M4" s="61">
        <f>+M5+M23+M38+M52+M63</f>
        <v>11741775.952</v>
      </c>
      <c r="N4" s="53">
        <v>12314490.073000001</v>
      </c>
      <c r="O4" s="61">
        <f>+O5+O23+O38+O52+O63</f>
        <v>10910592.725430001</v>
      </c>
      <c r="P4" s="53"/>
      <c r="Q4" s="53"/>
      <c r="R4" s="61">
        <f t="shared" ref="R4:AA4" si="0">+R5+R23+R38+R52+R63</f>
        <v>15669654.822000001</v>
      </c>
      <c r="S4" s="61">
        <f t="shared" si="0"/>
        <v>17515608.657000002</v>
      </c>
      <c r="T4" s="66">
        <f t="shared" si="0"/>
        <v>19999434.073999997</v>
      </c>
      <c r="U4" s="61">
        <f t="shared" si="0"/>
        <v>22096749.629000001</v>
      </c>
      <c r="V4" s="61">
        <f t="shared" si="0"/>
        <v>23817965.342999998</v>
      </c>
      <c r="W4" s="61">
        <f t="shared" si="0"/>
        <v>25728437.236000001</v>
      </c>
      <c r="X4" s="61">
        <f t="shared" si="0"/>
        <v>25800995.397999998</v>
      </c>
      <c r="Y4" s="61">
        <f t="shared" si="0"/>
        <v>26138070.572000001</v>
      </c>
      <c r="Z4" s="61">
        <f t="shared" si="0"/>
        <v>27205823.32</v>
      </c>
      <c r="AA4" s="61">
        <f t="shared" si="0"/>
        <v>25928202.710999995</v>
      </c>
      <c r="AB4" s="61">
        <f t="shared" ref="AB4:AC4" si="1">+AB5+AB23+AB38+AB52+AB63</f>
        <v>33971988.356999993</v>
      </c>
      <c r="AC4" s="61">
        <f t="shared" si="1"/>
        <v>36449982</v>
      </c>
      <c r="AD4" s="61">
        <f t="shared" ref="AD4:AE4" si="2">+AD5+AD23+AD38+AD52+AD63</f>
        <v>35427370.398000002</v>
      </c>
      <c r="AE4" s="61">
        <f t="shared" si="2"/>
        <v>33755320.637000002</v>
      </c>
      <c r="AF4" s="61">
        <f t="shared" ref="AF4:AG4" si="3">+AF5+AF23+AF38+AF52+AF63</f>
        <v>33009286.446999997</v>
      </c>
      <c r="AG4" s="61">
        <f t="shared" si="3"/>
        <v>33043030.248999998</v>
      </c>
      <c r="AH4" s="61">
        <f t="shared" ref="AH4:AI4" si="4">+AH5+AH23+AH38+AH52+AH63</f>
        <v>34164532.245000005</v>
      </c>
      <c r="AI4" s="61">
        <f t="shared" si="4"/>
        <v>34542589.501999997</v>
      </c>
      <c r="AJ4" s="61">
        <f t="shared" ref="AJ4:AK4" si="5">+AJ5+AJ23+AJ38+AJ52+AJ63</f>
        <v>0</v>
      </c>
      <c r="AK4" s="61">
        <f t="shared" si="5"/>
        <v>38650232.053999998</v>
      </c>
    </row>
    <row r="5" spans="1:39" ht="12.75" customHeight="1">
      <c r="A5" s="1" t="s">
        <v>20</v>
      </c>
      <c r="B5" s="58">
        <f>SUM(B7:B22)</f>
        <v>1424923</v>
      </c>
      <c r="C5" s="58">
        <f t="shared" ref="C5:D5" si="6">SUM(C7:C22)</f>
        <v>1554277</v>
      </c>
      <c r="D5" s="58">
        <f t="shared" si="6"/>
        <v>1767024</v>
      </c>
      <c r="I5" s="58">
        <f t="shared" ref="I5:J5" si="7">SUM(I7:I22)</f>
        <v>2789105.5779999997</v>
      </c>
      <c r="J5" s="58">
        <f t="shared" si="7"/>
        <v>3136619.9020000002</v>
      </c>
      <c r="M5" s="58">
        <f t="shared" ref="M5:N5" si="8">SUM(M7:M22)</f>
        <v>3795131.7090000007</v>
      </c>
      <c r="N5" s="58">
        <f t="shared" si="8"/>
        <v>4045461.9209999996</v>
      </c>
      <c r="O5" s="58">
        <f t="shared" ref="O5" si="9">SUM(O7:O22)</f>
        <v>3550038.8907500007</v>
      </c>
      <c r="R5" s="58">
        <f t="shared" ref="R5:AA5" si="10">SUM(R7:R22)</f>
        <v>5175720.8819999993</v>
      </c>
      <c r="S5" s="58">
        <f t="shared" si="10"/>
        <v>5922225.7069999995</v>
      </c>
      <c r="T5" s="67">
        <f t="shared" si="10"/>
        <v>7236203.754999999</v>
      </c>
      <c r="U5" s="58">
        <f t="shared" si="10"/>
        <v>8262967.75</v>
      </c>
      <c r="V5" s="58">
        <f t="shared" si="10"/>
        <v>9045626.3440000005</v>
      </c>
      <c r="W5" s="58">
        <f t="shared" si="10"/>
        <v>9717666.0280000009</v>
      </c>
      <c r="X5" s="58">
        <f t="shared" si="10"/>
        <v>9645363.2419999987</v>
      </c>
      <c r="Y5" s="58">
        <f t="shared" si="10"/>
        <v>9689241.2480000015</v>
      </c>
      <c r="Z5" s="58">
        <f t="shared" si="10"/>
        <v>10237071.719999999</v>
      </c>
      <c r="AA5" s="58">
        <f t="shared" si="10"/>
        <v>9302242.4579999987</v>
      </c>
      <c r="AB5" s="58">
        <f t="shared" ref="AB5:AC5" si="11">SUM(AB7:AB22)</f>
        <v>13051932.219999999</v>
      </c>
      <c r="AC5" s="58">
        <f t="shared" si="11"/>
        <v>13707468</v>
      </c>
      <c r="AD5" s="58">
        <f t="shared" ref="AD5:AE5" si="12">SUM(AD7:AD22)</f>
        <v>13127213.715999998</v>
      </c>
      <c r="AE5" s="58">
        <f t="shared" si="12"/>
        <v>12230991.67</v>
      </c>
      <c r="AF5" s="58">
        <f t="shared" ref="AF5:AG5" si="13">SUM(AF7:AF22)</f>
        <v>11934563.648</v>
      </c>
      <c r="AG5" s="58">
        <f t="shared" si="13"/>
        <v>12073453.963</v>
      </c>
      <c r="AH5" s="58">
        <f t="shared" ref="AH5:AI5" si="14">SUM(AH7:AH22)</f>
        <v>12762835.171999998</v>
      </c>
      <c r="AI5" s="58">
        <f t="shared" si="14"/>
        <v>12949821.545999996</v>
      </c>
      <c r="AJ5" s="58">
        <f t="shared" ref="AJ5:AK5" si="15">SUM(AJ7:AJ22)</f>
        <v>0</v>
      </c>
      <c r="AK5" s="58">
        <f t="shared" si="15"/>
        <v>14819859.162999999</v>
      </c>
    </row>
    <row r="6" spans="1:39" ht="12.75" customHeight="1">
      <c r="A6" s="6" t="s">
        <v>94</v>
      </c>
      <c r="J6" s="157"/>
      <c r="R6" s="20"/>
      <c r="T6" s="51"/>
    </row>
    <row r="7" spans="1:39" ht="12.75" customHeight="1">
      <c r="A7" s="1" t="s">
        <v>21</v>
      </c>
      <c r="B7" s="1">
        <f>20860+88010</f>
        <v>108870</v>
      </c>
      <c r="C7" s="1">
        <f>23649+94521</f>
        <v>118170</v>
      </c>
      <c r="D7" s="1">
        <f>28046+103819</f>
        <v>131865</v>
      </c>
      <c r="I7" s="1">
        <v>208367.7</v>
      </c>
      <c r="J7" s="157">
        <v>237125.47500000001</v>
      </c>
      <c r="K7" s="1">
        <v>264687.40399999998</v>
      </c>
      <c r="L7" s="1">
        <v>262617.59000000003</v>
      </c>
      <c r="M7" s="1">
        <v>281283.277</v>
      </c>
      <c r="N7" s="1">
        <v>317866.27500000002</v>
      </c>
      <c r="O7" s="1">
        <v>297206.35700000002</v>
      </c>
      <c r="R7" s="27">
        <v>425760.07500000001</v>
      </c>
      <c r="S7" s="1">
        <v>485049.90500000003</v>
      </c>
      <c r="T7" s="51">
        <v>567754.18799999997</v>
      </c>
      <c r="U7" s="1">
        <v>617235.35</v>
      </c>
      <c r="V7" s="1">
        <v>639879.18299999996</v>
      </c>
      <c r="W7" s="157">
        <v>672444.89199999999</v>
      </c>
      <c r="X7" s="157">
        <v>684187.47900000005</v>
      </c>
      <c r="Y7" s="157">
        <v>717804.995</v>
      </c>
      <c r="Z7" s="157">
        <v>774663.53399999999</v>
      </c>
      <c r="AA7" s="157">
        <v>781260.05500000005</v>
      </c>
      <c r="AB7" s="157">
        <v>848026.12199999997</v>
      </c>
      <c r="AC7" s="157">
        <v>902539</v>
      </c>
      <c r="AD7" s="1">
        <v>782457.49899999995</v>
      </c>
      <c r="AE7" s="1">
        <v>806005.02099999995</v>
      </c>
      <c r="AF7" s="1">
        <v>789273.43200000003</v>
      </c>
      <c r="AG7" s="1">
        <v>800086.66599999997</v>
      </c>
      <c r="AH7" s="1">
        <v>820110.603</v>
      </c>
      <c r="AI7" s="1">
        <v>838163.897</v>
      </c>
      <c r="AK7" s="1">
        <v>975873.33900000004</v>
      </c>
    </row>
    <row r="8" spans="1:39" ht="12.75" customHeight="1">
      <c r="A8" s="1" t="s">
        <v>22</v>
      </c>
      <c r="B8" s="1">
        <f>11040+28872</f>
        <v>39912</v>
      </c>
      <c r="C8" s="1">
        <f>13167+29297</f>
        <v>42464</v>
      </c>
      <c r="D8" s="1">
        <f>15685+32207</f>
        <v>47892</v>
      </c>
      <c r="I8" s="1">
        <v>70930.881999999998</v>
      </c>
      <c r="J8" s="157">
        <v>81972.021999999997</v>
      </c>
      <c r="K8" s="1">
        <v>92855.107000000004</v>
      </c>
      <c r="L8" s="1">
        <v>95683.005999999994</v>
      </c>
      <c r="M8" s="1">
        <v>101415.819</v>
      </c>
      <c r="N8" s="1">
        <v>113393.254</v>
      </c>
      <c r="O8" s="1">
        <v>68008.004000000001</v>
      </c>
      <c r="R8" s="27">
        <v>136035.927</v>
      </c>
      <c r="S8" s="1">
        <v>152093.60200000001</v>
      </c>
      <c r="T8" s="51">
        <v>198130.53899999999</v>
      </c>
      <c r="U8" s="1">
        <v>212704.209</v>
      </c>
      <c r="V8" s="1">
        <v>245532.16200000001</v>
      </c>
      <c r="W8" s="157">
        <v>248585.019</v>
      </c>
      <c r="X8" s="157">
        <v>254308.883</v>
      </c>
      <c r="Y8" s="157">
        <v>255228.72700000001</v>
      </c>
      <c r="Z8" s="157">
        <v>247073.875</v>
      </c>
      <c r="AA8" s="157">
        <v>202957.13500000001</v>
      </c>
      <c r="AB8" s="157">
        <v>342391.03899999999</v>
      </c>
      <c r="AC8" s="157">
        <v>384844</v>
      </c>
      <c r="AD8" s="1">
        <v>415920.67200000002</v>
      </c>
      <c r="AE8" s="1">
        <v>352181.21299999999</v>
      </c>
      <c r="AF8" s="1">
        <v>335465.08600000001</v>
      </c>
      <c r="AG8" s="1">
        <v>307413.01699999999</v>
      </c>
      <c r="AH8" s="1">
        <v>306291.21299999999</v>
      </c>
      <c r="AI8" s="1">
        <v>319256.12300000002</v>
      </c>
      <c r="AK8" s="1">
        <v>372274.97</v>
      </c>
    </row>
    <row r="9" spans="1:39" ht="12.75" customHeight="1">
      <c r="A9" s="1" t="s">
        <v>23</v>
      </c>
      <c r="D9" s="1">
        <f>16282+2901</f>
        <v>19183</v>
      </c>
      <c r="I9" s="1">
        <v>29187.155999999999</v>
      </c>
      <c r="J9" s="157">
        <v>33489.614000000001</v>
      </c>
      <c r="M9" s="1">
        <v>43173.224000000002</v>
      </c>
      <c r="N9" s="1">
        <v>45907.961000000003</v>
      </c>
      <c r="O9" s="1">
        <v>41830.648999999998</v>
      </c>
      <c r="R9" s="27">
        <v>61641.462</v>
      </c>
      <c r="S9" s="38">
        <v>70886.156000000003</v>
      </c>
      <c r="T9" s="52">
        <v>73609.673999999999</v>
      </c>
      <c r="U9" s="38">
        <v>85778.017000000007</v>
      </c>
      <c r="V9" s="38">
        <v>96127.892000000007</v>
      </c>
      <c r="W9" s="157">
        <f>14655.322+82133.156</f>
        <v>96788.478000000003</v>
      </c>
      <c r="X9" s="157">
        <v>101886.742</v>
      </c>
      <c r="Y9" s="157">
        <v>113716.395</v>
      </c>
      <c r="Z9" s="157">
        <v>113211.179</v>
      </c>
      <c r="AA9" s="157">
        <v>115285.101</v>
      </c>
      <c r="AB9" s="157">
        <v>141361.31099999999</v>
      </c>
      <c r="AC9" s="157">
        <v>134093</v>
      </c>
      <c r="AD9" s="1">
        <v>142891.465</v>
      </c>
      <c r="AE9" s="1">
        <v>141220.97200000001</v>
      </c>
      <c r="AF9" s="1">
        <v>137390.39199999999</v>
      </c>
      <c r="AG9" s="1">
        <v>133809.33600000001</v>
      </c>
      <c r="AH9" s="1">
        <v>139650.296</v>
      </c>
      <c r="AI9" s="1">
        <v>29184.135999999999</v>
      </c>
      <c r="AK9" s="1">
        <v>153537.139</v>
      </c>
    </row>
    <row r="10" spans="1:39" ht="12.75" customHeight="1">
      <c r="A10" s="1" t="s">
        <v>24</v>
      </c>
      <c r="B10" s="1">
        <f>77265+35353</f>
        <v>112618</v>
      </c>
      <c r="C10" s="1">
        <f>92139+42365</f>
        <v>134504</v>
      </c>
      <c r="D10" s="1">
        <f>109157+48510</f>
        <v>157667</v>
      </c>
      <c r="I10" s="1">
        <v>230727.73499999999</v>
      </c>
      <c r="J10" s="157">
        <v>262279.853</v>
      </c>
      <c r="K10" s="1">
        <v>290475.84399999998</v>
      </c>
      <c r="L10" s="1">
        <v>298891.68900000001</v>
      </c>
      <c r="M10" s="1">
        <v>320315.7</v>
      </c>
      <c r="N10" s="1">
        <v>356155.63699999999</v>
      </c>
      <c r="O10" s="1">
        <v>320344.26299999998</v>
      </c>
      <c r="R10" s="27">
        <v>466367.69300000003</v>
      </c>
      <c r="S10" s="1">
        <v>517329.97700000001</v>
      </c>
      <c r="T10" s="51">
        <v>657954.31099999999</v>
      </c>
      <c r="U10" s="1">
        <v>896645.45499999996</v>
      </c>
      <c r="V10" s="1">
        <v>999427.23499999999</v>
      </c>
      <c r="W10" s="157">
        <v>1103496.7309999999</v>
      </c>
      <c r="X10" s="157">
        <v>1041316.621</v>
      </c>
      <c r="Y10" s="157">
        <v>994113.77099999995</v>
      </c>
      <c r="Z10" s="157">
        <v>1134521.898</v>
      </c>
      <c r="AA10" s="157">
        <v>1152221.9990000001</v>
      </c>
      <c r="AB10" s="157">
        <v>1406469.584</v>
      </c>
      <c r="AC10" s="157">
        <v>1435741</v>
      </c>
      <c r="AD10" s="1">
        <v>1438948.7590000001</v>
      </c>
      <c r="AE10" s="1">
        <v>1423267.64</v>
      </c>
      <c r="AF10" s="1">
        <v>1393390.1580000001</v>
      </c>
      <c r="AG10" s="1">
        <v>1412692.267</v>
      </c>
      <c r="AH10" s="1">
        <v>1424312.696</v>
      </c>
      <c r="AI10" s="1">
        <v>1480356.541</v>
      </c>
      <c r="AK10" s="1">
        <v>1722463.3119999999</v>
      </c>
    </row>
    <row r="11" spans="1:39" ht="12.75" customHeight="1">
      <c r="A11" s="1" t="s">
        <v>25</v>
      </c>
      <c r="B11" s="1">
        <f>34474+89839</f>
        <v>124313</v>
      </c>
      <c r="C11" s="1">
        <f>36898+91273</f>
        <v>128171</v>
      </c>
      <c r="D11" s="1">
        <f>42082+102753</f>
        <v>144835</v>
      </c>
      <c r="I11" s="1">
        <v>221797.753</v>
      </c>
      <c r="J11" s="157">
        <v>240534.861</v>
      </c>
      <c r="K11" s="1">
        <v>249981.69399999999</v>
      </c>
      <c r="L11" s="1">
        <v>253198.27799999999</v>
      </c>
      <c r="M11" s="1">
        <v>276188.48100000003</v>
      </c>
      <c r="N11" s="1">
        <v>307833.837</v>
      </c>
      <c r="O11" s="1">
        <v>280919.49099999998</v>
      </c>
      <c r="R11" s="27">
        <v>376481.24099999998</v>
      </c>
      <c r="S11" s="1">
        <v>401731.97100000002</v>
      </c>
      <c r="T11" s="51">
        <v>485682.08600000001</v>
      </c>
      <c r="U11" s="1">
        <v>618710.71100000001</v>
      </c>
      <c r="V11" s="1">
        <v>668206.125</v>
      </c>
      <c r="W11" s="157">
        <v>651328.16899999999</v>
      </c>
      <c r="X11" s="157">
        <v>647361.25399999996</v>
      </c>
      <c r="Y11" s="157">
        <v>653365.12</v>
      </c>
      <c r="Z11" s="157">
        <v>708676.81400000001</v>
      </c>
      <c r="AA11" s="157">
        <v>714327.13300000003</v>
      </c>
      <c r="AB11" s="157">
        <v>1058417.0319999999</v>
      </c>
      <c r="AC11" s="157">
        <v>1101057</v>
      </c>
      <c r="AD11" s="1">
        <v>1193757.4140000001</v>
      </c>
      <c r="AE11" s="1">
        <v>1209439.905</v>
      </c>
      <c r="AF11" s="1">
        <v>1197630.6070000001</v>
      </c>
      <c r="AG11" s="1">
        <v>1244617.0020000001</v>
      </c>
      <c r="AH11" s="1">
        <v>1259508.05</v>
      </c>
      <c r="AI11" s="1">
        <v>1293121.73</v>
      </c>
      <c r="AK11" s="1">
        <v>1502106.0360000001</v>
      </c>
    </row>
    <row r="12" spans="1:39" ht="12.75" customHeight="1">
      <c r="A12" s="1" t="s">
        <v>26</v>
      </c>
      <c r="B12" s="1">
        <f>32119+26334</f>
        <v>58453</v>
      </c>
      <c r="C12" s="1">
        <f>29813+26069</f>
        <v>55882</v>
      </c>
      <c r="D12" s="1">
        <f>34786+28755</f>
        <v>63541</v>
      </c>
      <c r="I12" s="1">
        <v>102801.363</v>
      </c>
      <c r="J12" s="157">
        <v>122349</v>
      </c>
      <c r="K12" s="1">
        <v>135225.95699999999</v>
      </c>
      <c r="L12" s="1">
        <v>142697.91099999999</v>
      </c>
      <c r="M12" s="1">
        <v>140929.913</v>
      </c>
      <c r="N12" s="1">
        <v>143169.81899999999</v>
      </c>
      <c r="O12" s="1">
        <v>110470.53200000001</v>
      </c>
      <c r="R12" s="20">
        <v>197002.49400000001</v>
      </c>
      <c r="S12" s="1">
        <v>228832.22</v>
      </c>
      <c r="T12" s="51">
        <v>300855.71500000003</v>
      </c>
      <c r="U12" s="1">
        <v>338175.10200000001</v>
      </c>
      <c r="V12" s="1">
        <v>377983.63299999997</v>
      </c>
      <c r="W12" s="157">
        <v>436965.99599999998</v>
      </c>
      <c r="X12" s="157">
        <v>491709.87</v>
      </c>
      <c r="Y12" s="157">
        <v>499615.77399999998</v>
      </c>
      <c r="Z12" s="157">
        <v>512167.71299999999</v>
      </c>
      <c r="AA12" s="157">
        <v>492578.99300000002</v>
      </c>
      <c r="AB12" s="157">
        <v>575394.92700000003</v>
      </c>
      <c r="AC12" s="157">
        <v>612185</v>
      </c>
      <c r="AD12" s="1">
        <v>573061.10499999998</v>
      </c>
      <c r="AE12" s="1">
        <v>535135.49100000004</v>
      </c>
      <c r="AF12" s="1">
        <v>516849.97700000001</v>
      </c>
      <c r="AG12" s="1">
        <v>514282.49800000002</v>
      </c>
      <c r="AH12" s="1">
        <v>519313.30599999998</v>
      </c>
      <c r="AI12" s="1">
        <v>524080.89899999998</v>
      </c>
      <c r="AK12" s="1">
        <v>586015.66899999999</v>
      </c>
    </row>
    <row r="13" spans="1:39" ht="12.75" customHeight="1">
      <c r="A13" s="1" t="s">
        <v>27</v>
      </c>
      <c r="B13" s="1">
        <f>15304+56666</f>
        <v>71970</v>
      </c>
      <c r="C13" s="1">
        <f>17047+58956</f>
        <v>76003</v>
      </c>
      <c r="D13" s="1">
        <f>17670+69927</f>
        <v>87597</v>
      </c>
      <c r="I13" s="1">
        <v>153893.231</v>
      </c>
      <c r="J13" s="157">
        <v>159109.23699999999</v>
      </c>
      <c r="K13" s="1">
        <v>172264.53</v>
      </c>
      <c r="L13" s="1">
        <v>170162.24</v>
      </c>
      <c r="M13" s="1">
        <v>185609.505</v>
      </c>
      <c r="N13" s="1">
        <v>200728.36499999999</v>
      </c>
      <c r="O13" s="1">
        <v>132007.519</v>
      </c>
      <c r="R13" s="20">
        <v>230919.46</v>
      </c>
      <c r="S13" s="1">
        <v>277572.467</v>
      </c>
      <c r="T13" s="51">
        <v>320648.28700000001</v>
      </c>
      <c r="U13" s="1">
        <v>354710.31199999998</v>
      </c>
      <c r="V13" s="1">
        <v>404309.609</v>
      </c>
      <c r="W13" s="157">
        <v>426458.12300000002</v>
      </c>
      <c r="X13" s="157">
        <v>422936.12800000003</v>
      </c>
      <c r="Y13" s="157">
        <v>419983.92599999998</v>
      </c>
      <c r="Z13" s="157">
        <v>423386.04399999999</v>
      </c>
      <c r="AA13" s="157">
        <v>358077.01</v>
      </c>
      <c r="AB13" s="157">
        <v>520413.60499999998</v>
      </c>
      <c r="AC13" s="157">
        <v>564738</v>
      </c>
      <c r="AD13" s="1">
        <v>500929.54800000001</v>
      </c>
      <c r="AE13" s="1">
        <v>469280.31199999998</v>
      </c>
      <c r="AF13" s="1">
        <v>446616.00300000003</v>
      </c>
      <c r="AG13" s="1">
        <v>417395.152</v>
      </c>
      <c r="AH13" s="1">
        <v>431931.58500000002</v>
      </c>
      <c r="AI13" s="1">
        <v>442346.74400000001</v>
      </c>
      <c r="AK13" s="1">
        <v>500067.92499999999</v>
      </c>
    </row>
    <row r="14" spans="1:39" ht="12.75" customHeight="1">
      <c r="A14" s="1" t="s">
        <v>28</v>
      </c>
      <c r="B14" s="1">
        <v>104713</v>
      </c>
      <c r="C14" s="1">
        <f>0+112285</f>
        <v>112285</v>
      </c>
      <c r="D14" s="1">
        <f>0+124204</f>
        <v>124204</v>
      </c>
      <c r="I14" s="1">
        <v>195474.052</v>
      </c>
      <c r="J14" s="157">
        <v>201243.636</v>
      </c>
      <c r="K14" s="1">
        <v>222225.33900000001</v>
      </c>
      <c r="L14" s="1">
        <v>232827.43599999999</v>
      </c>
      <c r="M14" s="1">
        <v>233879.424</v>
      </c>
      <c r="N14" s="1">
        <v>265022.69900000002</v>
      </c>
      <c r="O14" s="1">
        <v>275342.86916</v>
      </c>
      <c r="R14" s="20">
        <v>374300.23300000001</v>
      </c>
      <c r="S14" s="1">
        <v>397167.63099999999</v>
      </c>
      <c r="T14" s="51">
        <v>519645.391</v>
      </c>
      <c r="U14" s="1">
        <v>502136.027</v>
      </c>
      <c r="V14" s="1">
        <v>529056.21600000001</v>
      </c>
      <c r="W14" s="157">
        <v>623173.696</v>
      </c>
      <c r="X14" s="157">
        <v>627287.87600000005</v>
      </c>
      <c r="Y14" s="157">
        <v>642472.87600000005</v>
      </c>
      <c r="Z14" s="157">
        <v>691027.21100000001</v>
      </c>
      <c r="AA14" s="157">
        <v>473669.94799999997</v>
      </c>
      <c r="AB14" s="157">
        <v>823649.79</v>
      </c>
      <c r="AC14" s="157">
        <v>929550</v>
      </c>
      <c r="AD14" s="1">
        <v>887510.96499999997</v>
      </c>
      <c r="AE14" s="1">
        <v>855700.23899999994</v>
      </c>
      <c r="AF14" s="1">
        <v>814603.57700000005</v>
      </c>
      <c r="AG14" s="1">
        <v>812621.86800000002</v>
      </c>
      <c r="AH14" s="1">
        <v>830491.63300000003</v>
      </c>
      <c r="AI14" s="1">
        <v>857392.43200000003</v>
      </c>
      <c r="AK14" s="1">
        <v>984446.53099999996</v>
      </c>
    </row>
    <row r="15" spans="1:39" ht="12.75" customHeight="1">
      <c r="A15" s="1" t="s">
        <v>29</v>
      </c>
      <c r="B15" s="1">
        <f>5805+51543</f>
        <v>57348</v>
      </c>
      <c r="C15" s="1">
        <f>6778+52526</f>
        <v>59304</v>
      </c>
      <c r="D15" s="1">
        <f>7940+58835</f>
        <v>66775</v>
      </c>
      <c r="I15" s="1">
        <v>119647.66899999999</v>
      </c>
      <c r="J15" s="157">
        <v>129193.44100000001</v>
      </c>
      <c r="K15" s="1">
        <v>139288.78599999999</v>
      </c>
      <c r="L15" s="1">
        <v>150356.74100000001</v>
      </c>
      <c r="M15" s="1">
        <v>155008.60399999999</v>
      </c>
      <c r="N15" s="1">
        <v>153572.04500000001</v>
      </c>
      <c r="O15" s="1">
        <v>117470.817</v>
      </c>
      <c r="R15" s="20">
        <v>224428.753</v>
      </c>
      <c r="S15" s="1">
        <v>278086.58799999999</v>
      </c>
      <c r="T15" s="51">
        <v>353517.76299999998</v>
      </c>
      <c r="U15" s="1">
        <v>373987.23700000002</v>
      </c>
      <c r="V15" s="1">
        <v>381583.45400000003</v>
      </c>
      <c r="W15" s="157">
        <v>410169.712</v>
      </c>
      <c r="X15" s="157">
        <v>426212.946</v>
      </c>
      <c r="Y15" s="157">
        <v>487166.08100000001</v>
      </c>
      <c r="Z15" s="157">
        <v>446104.71500000003</v>
      </c>
      <c r="AA15" s="157">
        <v>413741.30599999998</v>
      </c>
      <c r="AB15" s="157">
        <v>532609.152</v>
      </c>
      <c r="AC15" s="157">
        <v>529241</v>
      </c>
      <c r="AD15" s="1">
        <v>488308.20799999998</v>
      </c>
      <c r="AE15" s="1">
        <v>418553.08299999998</v>
      </c>
      <c r="AF15" s="1">
        <v>395276.45699999999</v>
      </c>
      <c r="AG15" s="1">
        <v>410077.55599999998</v>
      </c>
      <c r="AH15" s="1">
        <v>431008.15500000003</v>
      </c>
      <c r="AI15" s="1">
        <v>426004.78899999999</v>
      </c>
      <c r="AK15" s="1">
        <v>490084.908</v>
      </c>
    </row>
    <row r="16" spans="1:39" ht="12.75" customHeight="1">
      <c r="A16" s="1" t="s">
        <v>30</v>
      </c>
      <c r="B16" s="1">
        <f>63413+75483</f>
        <v>138896</v>
      </c>
      <c r="C16" s="1">
        <f>88270+79573</f>
        <v>167843</v>
      </c>
      <c r="D16" s="1">
        <f>85246+85488</f>
        <v>170734</v>
      </c>
      <c r="I16" s="1">
        <v>253005.52799999999</v>
      </c>
      <c r="J16" s="157">
        <v>288768.84999999998</v>
      </c>
      <c r="K16" s="1">
        <v>335844.75400000002</v>
      </c>
      <c r="L16" s="1">
        <v>362704.44799999997</v>
      </c>
      <c r="M16" s="1">
        <v>390622.21500000003</v>
      </c>
      <c r="N16" s="1">
        <v>406028.40399999998</v>
      </c>
      <c r="O16" s="1">
        <v>370101.46899999998</v>
      </c>
      <c r="R16" s="20">
        <v>501284.31099999999</v>
      </c>
      <c r="S16" s="1">
        <v>561505.39599999995</v>
      </c>
      <c r="T16" s="51">
        <v>681496.55900000001</v>
      </c>
      <c r="U16" s="1">
        <v>719330.93700000003</v>
      </c>
      <c r="V16" s="1">
        <v>791948.49800000002</v>
      </c>
      <c r="W16" s="157">
        <v>830217.62600000005</v>
      </c>
      <c r="X16" s="157">
        <v>857200.15300000005</v>
      </c>
      <c r="Y16" s="157">
        <v>874470.777</v>
      </c>
      <c r="Z16" s="157">
        <v>906379.33799999999</v>
      </c>
      <c r="AA16" s="157">
        <v>982805.78300000005</v>
      </c>
      <c r="AB16" s="157">
        <v>1191811.567</v>
      </c>
      <c r="AC16" s="157">
        <v>1302477</v>
      </c>
      <c r="AD16" s="1">
        <v>1281397.182</v>
      </c>
      <c r="AE16" s="1">
        <v>1275031.388</v>
      </c>
      <c r="AF16" s="1">
        <v>1320208.2749999999</v>
      </c>
      <c r="AG16" s="1">
        <v>1369505.267</v>
      </c>
      <c r="AH16" s="1">
        <v>1285030.483</v>
      </c>
      <c r="AI16" s="1">
        <v>1303838.189</v>
      </c>
      <c r="AK16" s="1">
        <v>1489253.727</v>
      </c>
    </row>
    <row r="17" spans="1:37" ht="12.75" customHeight="1">
      <c r="A17" s="1" t="s">
        <v>31</v>
      </c>
      <c r="B17" s="1">
        <v>57249</v>
      </c>
      <c r="C17" s="1">
        <v>58555</v>
      </c>
      <c r="D17" s="1">
        <f>0+64763</f>
        <v>64763</v>
      </c>
      <c r="I17" s="1">
        <v>105041.329</v>
      </c>
      <c r="J17" s="157">
        <v>121702.753</v>
      </c>
      <c r="K17" s="1">
        <v>124425.783</v>
      </c>
      <c r="L17" s="1">
        <v>135181.66899999999</v>
      </c>
      <c r="M17" s="1">
        <v>132830.29999999999</v>
      </c>
      <c r="N17" s="1">
        <v>137249.94500000001</v>
      </c>
      <c r="O17" s="1">
        <v>101794.75620999999</v>
      </c>
      <c r="R17" s="20">
        <v>193269.32</v>
      </c>
      <c r="S17" s="1">
        <v>212665.905</v>
      </c>
      <c r="T17" s="51">
        <v>260750.571</v>
      </c>
      <c r="U17" s="1">
        <v>283389.18800000002</v>
      </c>
      <c r="V17" s="1">
        <v>324720.85399999999</v>
      </c>
      <c r="W17" s="157">
        <v>337645.33799999999</v>
      </c>
      <c r="X17" s="157">
        <v>330184.39600000001</v>
      </c>
      <c r="Y17" s="157">
        <v>339231.386</v>
      </c>
      <c r="Z17" s="157">
        <v>377530.49800000002</v>
      </c>
      <c r="AA17" s="157">
        <v>260876.783</v>
      </c>
      <c r="AB17" s="157">
        <v>388487.114</v>
      </c>
      <c r="AC17" s="157">
        <v>423012</v>
      </c>
      <c r="AD17" s="1">
        <v>411177.26400000002</v>
      </c>
      <c r="AE17" s="1">
        <v>408839.10200000001</v>
      </c>
      <c r="AF17" s="1">
        <v>401437.08799999999</v>
      </c>
      <c r="AG17" s="1">
        <v>390403.42099999997</v>
      </c>
      <c r="AH17" s="1">
        <v>381492.62400000001</v>
      </c>
      <c r="AI17" s="1">
        <v>403966.451</v>
      </c>
      <c r="AK17" s="1">
        <v>449040.13400000002</v>
      </c>
    </row>
    <row r="18" spans="1:37" ht="12.75" customHeight="1">
      <c r="A18" s="1" t="s">
        <v>32</v>
      </c>
      <c r="B18" s="1">
        <f>28527+22752</f>
        <v>51279</v>
      </c>
      <c r="C18" s="1">
        <f>29258+26588</f>
        <v>55846</v>
      </c>
      <c r="D18" s="1">
        <f>34158+31488</f>
        <v>65646</v>
      </c>
      <c r="I18" s="1">
        <v>100164.88</v>
      </c>
      <c r="J18" s="157">
        <v>114707.427</v>
      </c>
      <c r="K18" s="1">
        <v>131264.804</v>
      </c>
      <c r="L18" s="1">
        <v>142438.905</v>
      </c>
      <c r="M18" s="1">
        <v>163819.228</v>
      </c>
      <c r="N18" s="1">
        <v>164440.40900000001</v>
      </c>
      <c r="O18" s="1">
        <v>138060.85500000001</v>
      </c>
      <c r="R18" s="20">
        <v>219833.30600000001</v>
      </c>
      <c r="S18" s="1">
        <v>248069.46799999999</v>
      </c>
      <c r="T18" s="51">
        <v>274373.68</v>
      </c>
      <c r="U18" s="1">
        <v>323366.21100000001</v>
      </c>
      <c r="V18" s="1">
        <v>350336.07</v>
      </c>
      <c r="W18" s="157">
        <v>360192.62099999998</v>
      </c>
      <c r="X18" s="157">
        <v>366256.52600000001</v>
      </c>
      <c r="Y18" s="157">
        <v>354816.32500000001</v>
      </c>
      <c r="Z18" s="157">
        <v>381723.85600000003</v>
      </c>
      <c r="AA18" s="157">
        <v>282282.38699999999</v>
      </c>
      <c r="AB18" s="157">
        <v>494299.47</v>
      </c>
      <c r="AC18" s="157">
        <v>528785</v>
      </c>
      <c r="AD18" s="1">
        <v>501771.16</v>
      </c>
      <c r="AE18" s="1">
        <v>492494.58600000001</v>
      </c>
      <c r="AF18" s="1">
        <v>480239.29100000003</v>
      </c>
      <c r="AG18" s="1">
        <v>491486.783</v>
      </c>
      <c r="AH18" s="1">
        <v>498840.00699999998</v>
      </c>
      <c r="AI18" s="1">
        <v>485933.7</v>
      </c>
      <c r="AK18" s="1">
        <v>560544.90599999996</v>
      </c>
    </row>
    <row r="19" spans="1:37" ht="12.75" customHeight="1">
      <c r="A19" s="1" t="s">
        <v>33</v>
      </c>
      <c r="B19" s="1">
        <f>28123+47278</f>
        <v>75401</v>
      </c>
      <c r="C19" s="1">
        <f>30740+50382</f>
        <v>81122</v>
      </c>
      <c r="D19" s="1">
        <f>37518+55334</f>
        <v>92852</v>
      </c>
      <c r="I19" s="1">
        <v>132064.61799999999</v>
      </c>
      <c r="J19" s="157">
        <v>151587.79199999999</v>
      </c>
      <c r="K19" s="1">
        <v>166408.397</v>
      </c>
      <c r="L19" s="1">
        <v>168480.44500000001</v>
      </c>
      <c r="M19" s="1">
        <v>164870.875</v>
      </c>
      <c r="N19" s="1">
        <v>164614.36300000001</v>
      </c>
      <c r="O19" s="1">
        <v>125361.14038</v>
      </c>
      <c r="R19" s="27">
        <v>201648.57500000001</v>
      </c>
      <c r="S19" s="1">
        <v>230821.72</v>
      </c>
      <c r="T19" s="51">
        <v>275027.68900000001</v>
      </c>
      <c r="U19" s="1">
        <v>325049.05</v>
      </c>
      <c r="V19" s="1">
        <v>347090.58299999998</v>
      </c>
      <c r="W19" s="157">
        <v>304894.92700000003</v>
      </c>
      <c r="X19" s="157">
        <v>398753.03200000001</v>
      </c>
      <c r="Y19" s="157">
        <v>419139.30300000001</v>
      </c>
      <c r="Z19" s="157">
        <v>425928.37</v>
      </c>
      <c r="AA19" s="157">
        <v>478710.03700000001</v>
      </c>
      <c r="AB19" s="157">
        <v>670607.83400000003</v>
      </c>
      <c r="AC19" s="157">
        <v>656483</v>
      </c>
      <c r="AD19" s="1">
        <v>622936.79299999995</v>
      </c>
      <c r="AE19" s="1">
        <v>582704.69400000002</v>
      </c>
      <c r="AF19" s="1">
        <v>554348.84499999997</v>
      </c>
      <c r="AG19" s="1">
        <v>538796.45700000005</v>
      </c>
      <c r="AH19" s="1">
        <v>538353.63300000003</v>
      </c>
      <c r="AI19" s="1">
        <v>533983.62399999995</v>
      </c>
      <c r="AK19" s="1">
        <v>522526.09399999998</v>
      </c>
    </row>
    <row r="20" spans="1:37" ht="12.75" customHeight="1">
      <c r="A20" s="1" t="s">
        <v>34</v>
      </c>
      <c r="B20" s="1">
        <f>96255+167334</f>
        <v>263589</v>
      </c>
      <c r="C20" s="1">
        <f>105356+191921</f>
        <v>297277</v>
      </c>
      <c r="D20" s="1">
        <f>119164+218260</f>
        <v>337424</v>
      </c>
      <c r="I20" s="1">
        <v>577008.85800000001</v>
      </c>
      <c r="J20" s="157">
        <v>668760.549</v>
      </c>
      <c r="K20" s="1">
        <v>741272.076</v>
      </c>
      <c r="L20" s="1">
        <v>764259.04</v>
      </c>
      <c r="M20" s="1">
        <v>816728.08</v>
      </c>
      <c r="N20" s="1">
        <v>876810.03899999999</v>
      </c>
      <c r="O20" s="1">
        <v>781198.86699999997</v>
      </c>
      <c r="R20" s="20">
        <v>1074580.831</v>
      </c>
      <c r="S20" s="1">
        <v>1288928.297</v>
      </c>
      <c r="T20" s="51">
        <v>1576983.9169999999</v>
      </c>
      <c r="U20" s="1">
        <v>1791579.23</v>
      </c>
      <c r="V20" s="1">
        <v>2011792.7790000001</v>
      </c>
      <c r="W20" s="157">
        <v>2269007.5690000001</v>
      </c>
      <c r="X20" s="157">
        <v>2082690.4609999999</v>
      </c>
      <c r="Y20" s="157">
        <v>2025691.62</v>
      </c>
      <c r="Z20" s="157">
        <v>2144450.0389999999</v>
      </c>
      <c r="AA20" s="157">
        <v>1587793.513</v>
      </c>
      <c r="AB20" s="157">
        <v>2914361.4989999998</v>
      </c>
      <c r="AC20" s="157">
        <v>2956857</v>
      </c>
      <c r="AD20" s="1">
        <v>2688669.3139999998</v>
      </c>
      <c r="AE20" s="1">
        <v>2067523.341</v>
      </c>
      <c r="AF20" s="1">
        <v>1984138.4580000001</v>
      </c>
      <c r="AG20" s="1">
        <v>2066920.55</v>
      </c>
      <c r="AH20" s="1">
        <v>2706109.693</v>
      </c>
      <c r="AI20" s="1">
        <v>2816667.9479999999</v>
      </c>
      <c r="AK20" s="1">
        <v>3158401.3709999998</v>
      </c>
    </row>
    <row r="21" spans="1:37" ht="12.75" customHeight="1">
      <c r="A21" s="1" t="s">
        <v>35</v>
      </c>
      <c r="B21" s="1">
        <f>69642+55227</f>
        <v>124869</v>
      </c>
      <c r="C21" s="1">
        <f>76340+57840</f>
        <v>134180</v>
      </c>
      <c r="D21" s="1">
        <f>87625+67922</f>
        <v>155547</v>
      </c>
      <c r="I21" s="1">
        <v>234424.27</v>
      </c>
      <c r="J21" s="157">
        <v>253128.14799999999</v>
      </c>
      <c r="K21" s="1">
        <v>275639.68099999998</v>
      </c>
      <c r="L21" s="1">
        <v>288232.69099999999</v>
      </c>
      <c r="M21" s="1">
        <v>303892.19900000002</v>
      </c>
      <c r="N21" s="1">
        <v>303648.96000000002</v>
      </c>
      <c r="O21" s="1">
        <v>317042.777</v>
      </c>
      <c r="R21" s="20">
        <v>382937.08899999998</v>
      </c>
      <c r="S21" s="1">
        <v>447503.07199999999</v>
      </c>
      <c r="T21" s="51">
        <v>535765.97499999998</v>
      </c>
      <c r="U21" s="1">
        <v>638849.51599999995</v>
      </c>
      <c r="V21" s="1">
        <v>691920.81</v>
      </c>
      <c r="W21" s="157">
        <v>753116.18900000001</v>
      </c>
      <c r="X21" s="157">
        <v>727803.65399999998</v>
      </c>
      <c r="Y21" s="157">
        <v>709789.19200000004</v>
      </c>
      <c r="Z21" s="157">
        <v>761858.67099999997</v>
      </c>
      <c r="AA21" s="157">
        <v>814640.83700000006</v>
      </c>
      <c r="AB21" s="157">
        <v>910745.65700000001</v>
      </c>
      <c r="AC21" s="157">
        <v>981426</v>
      </c>
      <c r="AD21" s="1">
        <v>964526.71200000006</v>
      </c>
      <c r="AE21" s="1">
        <v>979548.85100000002</v>
      </c>
      <c r="AF21" s="1">
        <v>960807.272</v>
      </c>
      <c r="AG21" s="1">
        <v>967605.49600000004</v>
      </c>
      <c r="AH21" s="1">
        <v>988475.92799999996</v>
      </c>
      <c r="AI21" s="1">
        <v>997751.24600000004</v>
      </c>
      <c r="AK21" s="1">
        <v>1141332.4669999999</v>
      </c>
    </row>
    <row r="22" spans="1:37" ht="12.75" customHeight="1">
      <c r="A22" s="30" t="s">
        <v>36</v>
      </c>
      <c r="B22" s="30">
        <f>21244+14199</f>
        <v>35443</v>
      </c>
      <c r="C22" s="30">
        <f>17771+14900</f>
        <v>32671</v>
      </c>
      <c r="D22" s="30">
        <f>20063+16436</f>
        <v>36499</v>
      </c>
      <c r="E22" s="30"/>
      <c r="F22" s="30"/>
      <c r="G22" s="30"/>
      <c r="H22" s="30"/>
      <c r="I22" s="30">
        <v>54568.553999999996</v>
      </c>
      <c r="J22" s="158">
        <v>70667.244000000006</v>
      </c>
      <c r="K22" s="30">
        <v>77842.135999999999</v>
      </c>
      <c r="L22" s="30">
        <v>81032.929000000004</v>
      </c>
      <c r="M22" s="30">
        <v>84564.865000000005</v>
      </c>
      <c r="N22" s="30">
        <v>89019.909</v>
      </c>
      <c r="O22" s="30">
        <v>72878.524999999994</v>
      </c>
      <c r="P22" s="30"/>
      <c r="Q22" s="30"/>
      <c r="R22" s="30">
        <v>109230.11199999999</v>
      </c>
      <c r="S22" s="30">
        <v>123981.33199999999</v>
      </c>
      <c r="T22" s="68">
        <v>154007.41</v>
      </c>
      <c r="U22" s="30">
        <v>181321.198</v>
      </c>
      <c r="V22" s="30">
        <v>185711.24100000001</v>
      </c>
      <c r="W22" s="158">
        <v>193180.94200000001</v>
      </c>
      <c r="X22" s="158">
        <v>185267.22099999999</v>
      </c>
      <c r="Y22" s="158">
        <v>182634.98</v>
      </c>
      <c r="Z22" s="158">
        <v>188367.965</v>
      </c>
      <c r="AA22" s="158">
        <v>191014.43799999999</v>
      </c>
      <c r="AB22" s="158">
        <v>232886.51699999999</v>
      </c>
      <c r="AC22" s="158">
        <v>264440</v>
      </c>
      <c r="AD22" s="30">
        <v>232949.65599999999</v>
      </c>
      <c r="AE22" s="30">
        <v>214065.83199999999</v>
      </c>
      <c r="AF22" s="30">
        <v>206888.73</v>
      </c>
      <c r="AG22" s="30">
        <v>195740.62700000001</v>
      </c>
      <c r="AH22" s="30">
        <v>201915.26699999999</v>
      </c>
      <c r="AI22" s="30">
        <v>197773.09700000001</v>
      </c>
      <c r="AJ22" s="30"/>
      <c r="AK22" s="30">
        <v>211890.63500000001</v>
      </c>
    </row>
    <row r="23" spans="1:37" ht="12.75" customHeight="1">
      <c r="A23" s="6" t="s">
        <v>37</v>
      </c>
      <c r="J23" s="58">
        <f>SUM(J25:J37)</f>
        <v>2918207.6880000001</v>
      </c>
      <c r="M23" s="58">
        <f>SUM(M25:M37)</f>
        <v>3525113.2379999999</v>
      </c>
      <c r="O23" s="58">
        <f>SUM(O25:O37)</f>
        <v>3320696.9965599994</v>
      </c>
      <c r="R23" s="58">
        <f t="shared" ref="R23:AK23" si="16">SUM(R25:R37)</f>
        <v>4956429.1220000004</v>
      </c>
      <c r="S23" s="58">
        <f t="shared" si="16"/>
        <v>5432633.4509999994</v>
      </c>
      <c r="T23" s="58">
        <f t="shared" si="16"/>
        <v>5934055.0889999988</v>
      </c>
      <c r="U23" s="58">
        <f t="shared" si="16"/>
        <v>6738675.7370000007</v>
      </c>
      <c r="V23" s="58">
        <f t="shared" si="16"/>
        <v>7112311.2750000004</v>
      </c>
      <c r="W23" s="58">
        <f t="shared" si="16"/>
        <v>7724379.4389999993</v>
      </c>
      <c r="X23" s="58">
        <f t="shared" si="16"/>
        <v>7848716.3229999999</v>
      </c>
      <c r="Y23" s="58">
        <f t="shared" si="16"/>
        <v>8018707.051</v>
      </c>
      <c r="Z23" s="58">
        <f t="shared" si="16"/>
        <v>8165280.0150000006</v>
      </c>
      <c r="AA23" s="58">
        <f t="shared" si="16"/>
        <v>7867394.1429999983</v>
      </c>
      <c r="AB23" s="58">
        <f t="shared" si="16"/>
        <v>9934496.5099999998</v>
      </c>
      <c r="AC23" s="58">
        <f t="shared" si="16"/>
        <v>10849946</v>
      </c>
      <c r="AD23" s="58">
        <f t="shared" si="16"/>
        <v>10654646.489</v>
      </c>
      <c r="AE23" s="58">
        <f t="shared" si="16"/>
        <v>10500075.395</v>
      </c>
      <c r="AF23" s="58">
        <f t="shared" si="16"/>
        <v>10386750.367999999</v>
      </c>
      <c r="AG23" s="58">
        <f t="shared" si="16"/>
        <v>10435583.103</v>
      </c>
      <c r="AH23" s="58">
        <f t="shared" si="16"/>
        <v>10629091.978</v>
      </c>
      <c r="AI23" s="58">
        <f t="shared" si="16"/>
        <v>10738250.188000001</v>
      </c>
      <c r="AJ23" s="58">
        <f t="shared" si="16"/>
        <v>0</v>
      </c>
      <c r="AK23" s="58">
        <f t="shared" si="16"/>
        <v>11888110.802999999</v>
      </c>
    </row>
    <row r="24" spans="1:37" ht="12.75" customHeight="1">
      <c r="A24" s="6" t="s">
        <v>94</v>
      </c>
      <c r="T24" s="51"/>
    </row>
    <row r="25" spans="1:37" ht="12.75" customHeight="1">
      <c r="A25" s="1" t="s">
        <v>38</v>
      </c>
      <c r="J25" s="157">
        <v>43806.485000000001</v>
      </c>
      <c r="M25" s="1">
        <v>56657.18</v>
      </c>
      <c r="O25" s="1">
        <v>46764.294000000002</v>
      </c>
      <c r="R25" s="20">
        <v>69579.562999999995</v>
      </c>
      <c r="S25" s="1">
        <v>79811.28</v>
      </c>
      <c r="T25" s="51">
        <v>100915.99</v>
      </c>
      <c r="U25" s="1">
        <v>117155.78</v>
      </c>
      <c r="V25" s="1">
        <v>133765.30600000001</v>
      </c>
      <c r="W25" s="157">
        <v>138333.19899999999</v>
      </c>
      <c r="X25" s="157">
        <v>142407.11900000001</v>
      </c>
      <c r="Y25" s="157">
        <v>141431.087</v>
      </c>
      <c r="Z25" s="157">
        <v>138181.97399999999</v>
      </c>
      <c r="AA25" s="157">
        <v>137951.264</v>
      </c>
      <c r="AB25" s="157">
        <v>136877.33799999999</v>
      </c>
      <c r="AC25" s="157">
        <v>132086</v>
      </c>
      <c r="AD25" s="1">
        <v>85627.827999999994</v>
      </c>
      <c r="AE25" s="1">
        <v>145946.027</v>
      </c>
      <c r="AF25" s="1">
        <v>141386.17199999999</v>
      </c>
      <c r="AG25" s="1">
        <v>140778.375</v>
      </c>
      <c r="AH25" s="1">
        <v>146011.573</v>
      </c>
      <c r="AI25" s="1">
        <v>149784.163</v>
      </c>
      <c r="AK25" s="1">
        <v>145727.50099999999</v>
      </c>
    </row>
    <row r="26" spans="1:37" ht="12.75" customHeight="1">
      <c r="A26" s="1" t="s">
        <v>39</v>
      </c>
      <c r="J26" s="157">
        <v>215444.49900000001</v>
      </c>
      <c r="M26" s="1">
        <v>285537.88199999998</v>
      </c>
      <c r="O26" s="1">
        <v>238286.96799999999</v>
      </c>
      <c r="R26" s="20">
        <v>332969.67099999997</v>
      </c>
      <c r="S26" s="1">
        <v>369907.11900000001</v>
      </c>
      <c r="T26" s="51">
        <v>410453</v>
      </c>
      <c r="U26" s="1">
        <v>481125.42200000002</v>
      </c>
      <c r="V26" s="1">
        <v>526454.84499999997</v>
      </c>
      <c r="W26" s="157">
        <v>565616.91399999999</v>
      </c>
      <c r="X26" s="157">
        <v>558951.45299999998</v>
      </c>
      <c r="Y26" s="157">
        <v>565695.04200000002</v>
      </c>
      <c r="Z26" s="157">
        <v>586101.375</v>
      </c>
      <c r="AA26" s="157">
        <v>613943.973</v>
      </c>
      <c r="AB26" s="157">
        <v>733991.33299999998</v>
      </c>
      <c r="AC26" s="157">
        <v>827955</v>
      </c>
      <c r="AD26" s="1">
        <v>849355.51699999999</v>
      </c>
      <c r="AE26" s="1">
        <v>846444.64800000004</v>
      </c>
      <c r="AF26" s="1">
        <v>810590.92099999997</v>
      </c>
      <c r="AG26" s="1">
        <v>790226.23699999996</v>
      </c>
      <c r="AH26" s="1">
        <v>808091.71799999999</v>
      </c>
      <c r="AI26" s="1">
        <v>813425.875</v>
      </c>
      <c r="AK26" s="1">
        <v>1001405.323</v>
      </c>
    </row>
    <row r="27" spans="1:37" ht="12.75" customHeight="1">
      <c r="A27" s="1" t="s">
        <v>40</v>
      </c>
      <c r="J27" s="157">
        <v>1215838.409</v>
      </c>
      <c r="M27" s="1">
        <v>1450016.416</v>
      </c>
      <c r="O27" s="1">
        <v>1375214.82</v>
      </c>
      <c r="R27" s="20">
        <v>2231690.5350000001</v>
      </c>
      <c r="S27" s="1">
        <v>2419773.8319999999</v>
      </c>
      <c r="T27" s="51">
        <v>2443397.8709999998</v>
      </c>
      <c r="U27" s="1">
        <v>2750981.2379999999</v>
      </c>
      <c r="V27" s="1">
        <v>3004933.9989999998</v>
      </c>
      <c r="W27" s="157">
        <v>3124191.1770000001</v>
      </c>
      <c r="X27" s="157">
        <v>3203147.21</v>
      </c>
      <c r="Y27" s="157">
        <v>3293900.165</v>
      </c>
      <c r="Z27" s="157">
        <v>3377418.4330000002</v>
      </c>
      <c r="AA27" s="157">
        <v>3181241.84</v>
      </c>
      <c r="AB27" s="157">
        <v>4127773.75</v>
      </c>
      <c r="AC27" s="157">
        <v>4542714</v>
      </c>
      <c r="AD27" s="1">
        <v>4531568.4280000003</v>
      </c>
      <c r="AE27" s="1">
        <v>4446256.8739999998</v>
      </c>
      <c r="AF27" s="1">
        <v>4449378.4560000002</v>
      </c>
      <c r="AG27" s="1">
        <v>4526601.04</v>
      </c>
      <c r="AH27" s="1">
        <v>4657889.55</v>
      </c>
      <c r="AI27" s="1">
        <v>4640577.9560000002</v>
      </c>
      <c r="AK27" s="1">
        <v>5096324.898</v>
      </c>
    </row>
    <row r="28" spans="1:37" ht="12.75" customHeight="1">
      <c r="A28" s="1" t="s">
        <v>41</v>
      </c>
      <c r="J28" s="157">
        <v>285035.73</v>
      </c>
      <c r="M28" s="1">
        <v>369021.016</v>
      </c>
      <c r="O28" s="1">
        <v>349737.46174</v>
      </c>
      <c r="R28" s="20">
        <v>544222.75</v>
      </c>
      <c r="S28" s="1">
        <v>586129.49800000002</v>
      </c>
      <c r="T28" s="51">
        <v>600699.18400000001</v>
      </c>
      <c r="U28" s="1">
        <v>671955.41200000001</v>
      </c>
      <c r="V28" s="1">
        <v>518772.891</v>
      </c>
      <c r="W28" s="157">
        <v>795969.38</v>
      </c>
      <c r="X28" s="157">
        <v>795137.98800000001</v>
      </c>
      <c r="Y28" s="157">
        <v>809001.04799999995</v>
      </c>
      <c r="Z28" s="157">
        <v>814625.71200000006</v>
      </c>
      <c r="AA28" s="157">
        <v>860397.89800000004</v>
      </c>
      <c r="AB28" s="157">
        <v>1005781.936</v>
      </c>
      <c r="AC28" s="157">
        <v>1100934</v>
      </c>
      <c r="AD28" s="1">
        <v>1092813.0009999999</v>
      </c>
      <c r="AE28" s="1">
        <v>1042541.123</v>
      </c>
      <c r="AF28" s="1">
        <v>1036772.948</v>
      </c>
      <c r="AG28" s="1">
        <v>1066008.8689999999</v>
      </c>
      <c r="AH28" s="1">
        <v>1109888.331</v>
      </c>
      <c r="AI28" s="1">
        <v>1152267.9790000001</v>
      </c>
      <c r="AK28" s="1">
        <v>1311659.6459999999</v>
      </c>
    </row>
    <row r="29" spans="1:37" ht="12.75" customHeight="1">
      <c r="A29" s="1" t="s">
        <v>42</v>
      </c>
      <c r="J29" s="157">
        <v>80037.726999999999</v>
      </c>
      <c r="M29" s="1">
        <v>100281.93</v>
      </c>
      <c r="O29" s="1">
        <v>100742.84699999999</v>
      </c>
      <c r="R29" s="20">
        <v>117487.74099999999</v>
      </c>
      <c r="S29" s="1">
        <v>181595.79</v>
      </c>
      <c r="T29" s="51">
        <v>160651.658</v>
      </c>
      <c r="U29" s="1">
        <v>195561.68299999999</v>
      </c>
      <c r="V29" s="1">
        <v>231858.84</v>
      </c>
      <c r="W29" s="157">
        <v>242554.296</v>
      </c>
      <c r="X29" s="157">
        <v>255019.367</v>
      </c>
      <c r="Y29" s="157">
        <v>255431.41699999999</v>
      </c>
      <c r="Z29" s="157">
        <v>255725.101</v>
      </c>
      <c r="AA29" s="157">
        <v>256091.761</v>
      </c>
      <c r="AB29" s="157">
        <v>297233.16600000003</v>
      </c>
      <c r="AC29" s="157">
        <v>319520</v>
      </c>
      <c r="AD29" s="1">
        <v>298648.147</v>
      </c>
      <c r="AE29" s="1">
        <v>313058.88699999999</v>
      </c>
      <c r="AF29" s="1">
        <v>312721.69699999999</v>
      </c>
      <c r="AG29" s="1">
        <v>283997.40600000002</v>
      </c>
      <c r="AH29" s="1">
        <v>277474.17200000002</v>
      </c>
      <c r="AI29" s="1">
        <v>256205.58600000001</v>
      </c>
      <c r="AK29" s="1">
        <v>253317.02799999999</v>
      </c>
    </row>
    <row r="30" spans="1:37" ht="12.75" customHeight="1">
      <c r="A30" s="1" t="s">
        <v>43</v>
      </c>
      <c r="J30" s="157">
        <v>45786.192000000003</v>
      </c>
      <c r="M30" s="1">
        <v>49164.764000000003</v>
      </c>
      <c r="O30" s="1">
        <v>30298.26</v>
      </c>
      <c r="R30" s="20">
        <v>63544.999000000003</v>
      </c>
      <c r="S30" s="1">
        <v>75653.445000000007</v>
      </c>
      <c r="T30" s="51">
        <v>96627.914000000004</v>
      </c>
      <c r="U30" s="1">
        <v>115280.105</v>
      </c>
      <c r="V30" s="1">
        <v>123512.14200000001</v>
      </c>
      <c r="W30" s="157">
        <v>126100.408</v>
      </c>
      <c r="X30" s="157">
        <v>119741.461</v>
      </c>
      <c r="Y30" s="157">
        <v>119399.129</v>
      </c>
      <c r="Z30" s="157">
        <v>120865.338</v>
      </c>
      <c r="AA30" s="157">
        <v>147546.34</v>
      </c>
      <c r="AB30" s="157">
        <v>181917.345</v>
      </c>
      <c r="AC30" s="157">
        <v>211178</v>
      </c>
      <c r="AD30" s="1">
        <v>197983.33100000001</v>
      </c>
      <c r="AE30" s="1">
        <v>189302.53400000001</v>
      </c>
      <c r="AF30" s="1">
        <v>173104.44</v>
      </c>
      <c r="AG30" s="1">
        <v>169487.573</v>
      </c>
      <c r="AH30" s="1">
        <v>167854.90100000001</v>
      </c>
      <c r="AI30" s="1">
        <v>166923.76500000001</v>
      </c>
      <c r="AK30" s="1">
        <v>172964.27100000001</v>
      </c>
    </row>
    <row r="31" spans="1:37" ht="12.75" customHeight="1">
      <c r="A31" s="1" t="s">
        <v>44</v>
      </c>
      <c r="J31" s="157">
        <v>46079.082999999999</v>
      </c>
      <c r="M31" s="1">
        <v>57717.610999999997</v>
      </c>
      <c r="O31" s="1">
        <v>54300.91</v>
      </c>
      <c r="R31" s="27">
        <v>90058.7</v>
      </c>
      <c r="S31" s="1">
        <v>106321.89200000001</v>
      </c>
      <c r="T31" s="51">
        <v>113346.24099999999</v>
      </c>
      <c r="U31" s="1">
        <v>145359.704</v>
      </c>
      <c r="V31" s="1">
        <v>155084.18100000001</v>
      </c>
      <c r="W31" s="157">
        <v>159580.39799999999</v>
      </c>
      <c r="X31" s="157">
        <v>160241.49299999999</v>
      </c>
      <c r="Y31" s="157">
        <v>159290.31700000001</v>
      </c>
      <c r="Z31" s="157">
        <v>161258.967</v>
      </c>
      <c r="AA31" s="157">
        <v>176794.992</v>
      </c>
      <c r="AB31" s="157">
        <v>191501.408</v>
      </c>
      <c r="AC31" s="157">
        <v>198852</v>
      </c>
      <c r="AD31" s="1">
        <v>194681.595</v>
      </c>
      <c r="AE31" s="1">
        <v>177232.25899999999</v>
      </c>
      <c r="AF31" s="1">
        <v>170318.389</v>
      </c>
      <c r="AG31" s="1">
        <v>171138.01800000001</v>
      </c>
      <c r="AH31" s="1">
        <v>178044.74299999999</v>
      </c>
      <c r="AI31" s="1">
        <v>186019.63</v>
      </c>
      <c r="AK31" s="1">
        <v>194955.41699999999</v>
      </c>
    </row>
    <row r="32" spans="1:37" ht="12.75" customHeight="1">
      <c r="A32" s="1" t="s">
        <v>45</v>
      </c>
      <c r="J32" s="157">
        <v>44255.976000000002</v>
      </c>
      <c r="M32" s="1">
        <v>53930.68</v>
      </c>
      <c r="O32" s="1">
        <v>50998.89</v>
      </c>
      <c r="R32" s="27">
        <v>70255.990000000005</v>
      </c>
      <c r="S32" s="1">
        <v>81314.146999999997</v>
      </c>
      <c r="T32" s="51">
        <v>105417.535</v>
      </c>
      <c r="U32" s="1">
        <v>122153.62699999999</v>
      </c>
      <c r="V32" s="1">
        <v>148203.18700000001</v>
      </c>
      <c r="W32" s="157">
        <v>162873.766</v>
      </c>
      <c r="X32" s="157">
        <v>178432.45</v>
      </c>
      <c r="Y32" s="157">
        <v>177302.848</v>
      </c>
      <c r="Z32" s="157">
        <v>200049.36900000001</v>
      </c>
      <c r="AA32" s="157">
        <v>171594.209</v>
      </c>
      <c r="AB32" s="157">
        <v>235017.74</v>
      </c>
      <c r="AC32" s="157">
        <v>189459</v>
      </c>
      <c r="AD32" s="1">
        <v>182381.50399999999</v>
      </c>
      <c r="AE32" s="1">
        <v>192493.834</v>
      </c>
      <c r="AF32" s="1">
        <v>191483.29800000001</v>
      </c>
      <c r="AG32" s="1">
        <v>189181.92300000001</v>
      </c>
      <c r="AH32" s="1">
        <v>196199.18100000001</v>
      </c>
      <c r="AI32" s="1">
        <v>204316.54800000001</v>
      </c>
      <c r="AK32" s="1">
        <v>221169.60500000001</v>
      </c>
    </row>
    <row r="33" spans="1:37" ht="12.75" customHeight="1">
      <c r="A33" s="1" t="s">
        <v>46</v>
      </c>
      <c r="J33" s="157">
        <v>151122.39799999999</v>
      </c>
      <c r="M33" s="1">
        <v>202867.397</v>
      </c>
      <c r="O33" s="1">
        <v>178350.76781999998</v>
      </c>
      <c r="R33" s="27">
        <v>222476.59299999999</v>
      </c>
      <c r="S33" s="1">
        <v>265233.61800000002</v>
      </c>
      <c r="T33" s="51">
        <v>330753.95299999998</v>
      </c>
      <c r="U33" s="1">
        <v>359052.92800000001</v>
      </c>
      <c r="V33" s="1">
        <v>369737.96100000001</v>
      </c>
      <c r="W33" s="157">
        <v>426733.85399999999</v>
      </c>
      <c r="X33" s="157">
        <v>427604.78</v>
      </c>
      <c r="Y33" s="157">
        <v>467128.54499999998</v>
      </c>
      <c r="Z33" s="157">
        <v>415678.47100000002</v>
      </c>
      <c r="AA33" s="157">
        <v>423739.14</v>
      </c>
      <c r="AB33" s="157">
        <v>471751.83600000001</v>
      </c>
      <c r="AC33" s="157">
        <v>484233</v>
      </c>
      <c r="AD33" s="1">
        <v>443691.44900000002</v>
      </c>
      <c r="AE33" s="1">
        <v>429161.658</v>
      </c>
      <c r="AF33" s="1">
        <v>438156.80800000002</v>
      </c>
      <c r="AG33" s="1">
        <v>436475.88400000002</v>
      </c>
      <c r="AH33" s="1">
        <v>408232.446</v>
      </c>
      <c r="AI33" s="1">
        <v>423780.68099999998</v>
      </c>
      <c r="AK33" s="1">
        <v>422387.12400000001</v>
      </c>
    </row>
    <row r="34" spans="1:37" ht="12.75" customHeight="1">
      <c r="A34" s="1" t="s">
        <v>47</v>
      </c>
      <c r="J34" s="157">
        <v>182383.717</v>
      </c>
      <c r="M34" s="1">
        <v>227770.43400000001</v>
      </c>
      <c r="O34" s="1">
        <v>244042.85399999999</v>
      </c>
      <c r="R34" s="20">
        <v>359466.34100000001</v>
      </c>
      <c r="S34" s="1">
        <v>323614.89199999999</v>
      </c>
      <c r="T34" s="51">
        <v>491609.092</v>
      </c>
      <c r="U34" s="1">
        <v>516566.527</v>
      </c>
      <c r="V34" s="1">
        <v>518413.85700000002</v>
      </c>
      <c r="W34" s="157">
        <v>562317.63699999999</v>
      </c>
      <c r="X34" s="157">
        <v>568573.03899999999</v>
      </c>
      <c r="Y34" s="157">
        <v>576416.86300000001</v>
      </c>
      <c r="Z34" s="157">
        <v>603931.09</v>
      </c>
      <c r="AA34" s="157">
        <v>353347.29499999998</v>
      </c>
      <c r="AB34" s="157">
        <v>723765.45400000003</v>
      </c>
      <c r="AC34" s="157">
        <v>704932</v>
      </c>
      <c r="AD34" s="1">
        <v>740231.81799999997</v>
      </c>
      <c r="AE34" s="1">
        <v>725471.45299999998</v>
      </c>
      <c r="AF34" s="1">
        <v>728074.05700000003</v>
      </c>
      <c r="AG34" s="1">
        <v>727567.17</v>
      </c>
      <c r="AH34" s="1">
        <v>716048.49899999995</v>
      </c>
      <c r="AI34" s="1">
        <v>724620.35699999996</v>
      </c>
      <c r="AK34" s="1">
        <v>820673.30900000001</v>
      </c>
    </row>
    <row r="35" spans="1:37" ht="12.75" customHeight="1">
      <c r="A35" s="1" t="s">
        <v>48</v>
      </c>
      <c r="J35" s="157">
        <v>190498.747</v>
      </c>
      <c r="M35" s="1">
        <v>193942.84099999999</v>
      </c>
      <c r="O35" s="1">
        <v>179494.141</v>
      </c>
      <c r="R35" s="20">
        <v>249122.80600000001</v>
      </c>
      <c r="S35" s="1">
        <v>286455.78999999998</v>
      </c>
      <c r="T35" s="51">
        <v>332080.01</v>
      </c>
      <c r="U35" s="1">
        <v>377350.163</v>
      </c>
      <c r="V35" s="1">
        <v>413107.20000000001</v>
      </c>
      <c r="W35" s="157">
        <v>402375.391</v>
      </c>
      <c r="X35" s="157">
        <v>402381.908</v>
      </c>
      <c r="Y35" s="157">
        <v>395617.217</v>
      </c>
      <c r="Z35" s="157">
        <v>390181.89299999998</v>
      </c>
      <c r="AA35" s="157">
        <v>432147.886</v>
      </c>
      <c r="AB35" s="157">
        <v>535631.79700000002</v>
      </c>
      <c r="AC35" s="157">
        <v>689992</v>
      </c>
      <c r="AD35" s="1">
        <v>637808.35800000001</v>
      </c>
      <c r="AE35" s="1">
        <v>583787.58299999998</v>
      </c>
      <c r="AF35" s="1">
        <v>569754.62</v>
      </c>
      <c r="AG35" s="1">
        <v>580019.41899999999</v>
      </c>
      <c r="AH35" s="1">
        <v>598575.53500000003</v>
      </c>
      <c r="AI35" s="1">
        <v>628530.73</v>
      </c>
      <c r="AK35" s="1">
        <v>794951.07499999995</v>
      </c>
    </row>
    <row r="36" spans="1:37" ht="12.75" customHeight="1">
      <c r="A36" s="1" t="s">
        <v>49</v>
      </c>
      <c r="J36" s="157">
        <v>398274.87300000002</v>
      </c>
      <c r="M36" s="1">
        <v>457205.39500000002</v>
      </c>
      <c r="O36" s="1">
        <v>454838.44199999998</v>
      </c>
      <c r="R36" s="20">
        <v>581033.21200000006</v>
      </c>
      <c r="S36" s="1">
        <v>632511.28700000001</v>
      </c>
      <c r="T36" s="51">
        <v>717518.875</v>
      </c>
      <c r="U36" s="1">
        <v>842078.47400000005</v>
      </c>
      <c r="V36" s="1">
        <v>925333.12800000003</v>
      </c>
      <c r="W36" s="157">
        <v>972316.62300000002</v>
      </c>
      <c r="X36" s="157">
        <v>992070.61600000004</v>
      </c>
      <c r="Y36" s="157">
        <v>1011465.657</v>
      </c>
      <c r="Z36" s="157">
        <v>1050565.649</v>
      </c>
      <c r="AA36" s="157">
        <v>1062006.0349999999</v>
      </c>
      <c r="AB36" s="157">
        <v>1235654.02</v>
      </c>
      <c r="AC36" s="157">
        <v>1375363</v>
      </c>
      <c r="AD36" s="1">
        <v>1359283.4809999999</v>
      </c>
      <c r="AE36" s="1">
        <v>1349163.324</v>
      </c>
      <c r="AF36" s="1">
        <v>1309641.3629999999</v>
      </c>
      <c r="AG36" s="1">
        <v>1295662.4850000001</v>
      </c>
      <c r="AH36" s="1">
        <v>1302498.7439999999</v>
      </c>
      <c r="AI36" s="1">
        <v>1331231.835</v>
      </c>
      <c r="AK36" s="1">
        <v>1369810.6059999999</v>
      </c>
    </row>
    <row r="37" spans="1:37" ht="12.75" customHeight="1">
      <c r="A37" s="30" t="s">
        <v>50</v>
      </c>
      <c r="B37" s="30"/>
      <c r="C37" s="30"/>
      <c r="D37" s="30"/>
      <c r="E37" s="30"/>
      <c r="F37" s="30"/>
      <c r="G37" s="30"/>
      <c r="H37" s="30"/>
      <c r="I37" s="30"/>
      <c r="J37" s="158">
        <v>19643.851999999999</v>
      </c>
      <c r="K37" s="30"/>
      <c r="L37" s="30"/>
      <c r="M37" s="30">
        <v>20999.691999999999</v>
      </c>
      <c r="N37" s="30"/>
      <c r="O37" s="30">
        <v>17626.341</v>
      </c>
      <c r="P37" s="30"/>
      <c r="Q37" s="30"/>
      <c r="R37" s="40">
        <v>24520.221000000001</v>
      </c>
      <c r="S37" s="30">
        <v>24310.861000000001</v>
      </c>
      <c r="T37" s="68">
        <v>30583.766</v>
      </c>
      <c r="U37" s="30">
        <v>44054.673999999999</v>
      </c>
      <c r="V37" s="30">
        <v>43133.737999999998</v>
      </c>
      <c r="W37" s="158">
        <v>45416.396000000001</v>
      </c>
      <c r="X37" s="158">
        <v>45007.438999999998</v>
      </c>
      <c r="Y37" s="158">
        <v>46627.716</v>
      </c>
      <c r="Z37" s="158">
        <v>50696.642999999996</v>
      </c>
      <c r="AA37" s="158">
        <v>50591.51</v>
      </c>
      <c r="AB37" s="158">
        <v>57599.387000000002</v>
      </c>
      <c r="AC37" s="158">
        <v>72728</v>
      </c>
      <c r="AD37" s="30">
        <v>40572.031999999999</v>
      </c>
      <c r="AE37" s="30">
        <v>59215.190999999999</v>
      </c>
      <c r="AF37" s="30">
        <v>55367.199000000001</v>
      </c>
      <c r="AG37" s="30">
        <v>58438.703999999998</v>
      </c>
      <c r="AH37" s="30">
        <v>62282.584999999999</v>
      </c>
      <c r="AI37" s="30">
        <v>60565.082999999999</v>
      </c>
      <c r="AJ37" s="30"/>
      <c r="AK37" s="30">
        <v>82765</v>
      </c>
    </row>
    <row r="38" spans="1:37" ht="12.75" customHeight="1">
      <c r="A38" s="6" t="s">
        <v>51</v>
      </c>
      <c r="J38" s="58">
        <f>SUM(J40:J51)</f>
        <v>2576155.8969999999</v>
      </c>
      <c r="M38" s="58">
        <f>SUM(M40:M51)</f>
        <v>2869382</v>
      </c>
      <c r="O38" s="58">
        <f>SUM(O40:O51)</f>
        <v>2580555.2568399995</v>
      </c>
      <c r="R38" s="58">
        <f t="shared" ref="R38:AK38" si="17">SUM(R40:R51)</f>
        <v>3565536.7519999999</v>
      </c>
      <c r="S38" s="58">
        <f t="shared" si="17"/>
        <v>4016107.7600000002</v>
      </c>
      <c r="T38" s="58">
        <f t="shared" si="17"/>
        <v>4635249.8140000002</v>
      </c>
      <c r="U38" s="58">
        <f t="shared" si="17"/>
        <v>5171027.7279999992</v>
      </c>
      <c r="V38" s="58">
        <f t="shared" si="17"/>
        <v>5601696.6009999998</v>
      </c>
      <c r="W38" s="58">
        <f t="shared" si="17"/>
        <v>5887621.4579999996</v>
      </c>
      <c r="X38" s="58">
        <f t="shared" si="17"/>
        <v>5999062.9469999997</v>
      </c>
      <c r="Y38" s="58">
        <f t="shared" si="17"/>
        <v>6076578.3639999991</v>
      </c>
      <c r="Z38" s="58">
        <f t="shared" si="17"/>
        <v>6311818.8969999999</v>
      </c>
      <c r="AA38" s="58">
        <f t="shared" si="17"/>
        <v>6483780.7179999994</v>
      </c>
      <c r="AB38" s="58">
        <f t="shared" si="17"/>
        <v>7787799.0719999997</v>
      </c>
      <c r="AC38" s="58">
        <f t="shared" si="17"/>
        <v>8427945</v>
      </c>
      <c r="AD38" s="58">
        <f t="shared" si="17"/>
        <v>8292251.0020000003</v>
      </c>
      <c r="AE38" s="58">
        <f t="shared" si="17"/>
        <v>7970991.3269999996</v>
      </c>
      <c r="AF38" s="58">
        <f t="shared" si="17"/>
        <v>7567130.0269999998</v>
      </c>
      <c r="AG38" s="58">
        <f t="shared" si="17"/>
        <v>7393582.7970000003</v>
      </c>
      <c r="AH38" s="58">
        <f t="shared" si="17"/>
        <v>7504886.459999999</v>
      </c>
      <c r="AI38" s="58">
        <f t="shared" si="17"/>
        <v>7572494.7710000016</v>
      </c>
      <c r="AJ38" s="58">
        <f t="shared" si="17"/>
        <v>0</v>
      </c>
      <c r="AK38" s="58">
        <f t="shared" si="17"/>
        <v>8215777.9859999996</v>
      </c>
    </row>
    <row r="39" spans="1:37" ht="12.75" customHeight="1">
      <c r="A39" s="6" t="s">
        <v>94</v>
      </c>
      <c r="T39" s="51"/>
    </row>
    <row r="40" spans="1:37" ht="12.75" customHeight="1">
      <c r="A40" s="1" t="s">
        <v>52</v>
      </c>
      <c r="J40" s="157">
        <v>314145.7</v>
      </c>
      <c r="M40" s="1">
        <v>376082.66200000001</v>
      </c>
      <c r="O40" s="1">
        <v>341785.12800000003</v>
      </c>
      <c r="R40" s="20">
        <v>500343.32</v>
      </c>
      <c r="S40" s="1">
        <v>556972.61600000004</v>
      </c>
      <c r="T40" s="51">
        <v>619279.59699999995</v>
      </c>
      <c r="U40" s="1">
        <v>723464.96299999999</v>
      </c>
      <c r="V40" s="1">
        <v>748603.56200000003</v>
      </c>
      <c r="W40" s="157">
        <v>809601.06599999999</v>
      </c>
      <c r="X40" s="157">
        <v>809201.22900000005</v>
      </c>
      <c r="Y40" s="157">
        <v>796235.63699999999</v>
      </c>
      <c r="Z40" s="157">
        <v>803118.90700000001</v>
      </c>
      <c r="AA40" s="157">
        <v>843684.49100000004</v>
      </c>
      <c r="AB40" s="157">
        <v>1033031.4570000001</v>
      </c>
      <c r="AC40" s="157">
        <v>1083495</v>
      </c>
      <c r="AD40" s="1">
        <v>1116045.074</v>
      </c>
      <c r="AE40" s="1">
        <v>1082692.068</v>
      </c>
      <c r="AF40" s="1">
        <v>1018243.018</v>
      </c>
      <c r="AG40" s="1">
        <v>984638.15899999999</v>
      </c>
      <c r="AH40" s="1">
        <v>1012752.425</v>
      </c>
      <c r="AI40" s="1">
        <v>1022242.915</v>
      </c>
      <c r="AK40" s="1">
        <v>1061405.3119999999</v>
      </c>
    </row>
    <row r="41" spans="1:37" ht="12.75" customHeight="1">
      <c r="A41" s="1" t="s">
        <v>53</v>
      </c>
      <c r="J41" s="157">
        <v>209853.79199999999</v>
      </c>
      <c r="M41" s="1">
        <v>239590.77</v>
      </c>
      <c r="O41" s="1">
        <v>201472.478</v>
      </c>
      <c r="R41" s="20">
        <v>269904.96500000003</v>
      </c>
      <c r="S41" s="1">
        <v>296654.18900000001</v>
      </c>
      <c r="T41" s="51">
        <v>358480.82299999997</v>
      </c>
      <c r="U41" s="1">
        <v>436471.18</v>
      </c>
      <c r="V41" s="1">
        <v>497459.76699999999</v>
      </c>
      <c r="W41" s="157">
        <v>510910.929</v>
      </c>
      <c r="X41" s="157">
        <v>563159.68099999998</v>
      </c>
      <c r="Y41" s="157">
        <v>593391.33400000003</v>
      </c>
      <c r="Z41" s="157">
        <v>638832.04399999999</v>
      </c>
      <c r="AA41" s="157">
        <v>672924.28399999999</v>
      </c>
      <c r="AB41" s="157">
        <v>811285.33</v>
      </c>
      <c r="AC41" s="157">
        <v>894449</v>
      </c>
      <c r="AD41" s="1">
        <v>873556.23</v>
      </c>
      <c r="AE41" s="1">
        <v>798897.13800000004</v>
      </c>
      <c r="AF41" s="1">
        <v>766843.41599999997</v>
      </c>
      <c r="AG41" s="1">
        <v>762602.68099999998</v>
      </c>
      <c r="AH41" s="1">
        <v>793767.29</v>
      </c>
      <c r="AI41" s="1">
        <v>810057.85900000005</v>
      </c>
      <c r="AK41" s="1">
        <v>941421.81400000001</v>
      </c>
    </row>
    <row r="42" spans="1:37" ht="12.75" customHeight="1">
      <c r="A42" s="1" t="s">
        <v>54</v>
      </c>
      <c r="J42" s="157">
        <v>179547.40700000001</v>
      </c>
      <c r="M42" s="1">
        <v>233865.049</v>
      </c>
      <c r="O42" s="1">
        <v>216520.11499999999</v>
      </c>
      <c r="R42" s="20">
        <v>276099.87199999997</v>
      </c>
      <c r="S42" s="1">
        <v>297175.886</v>
      </c>
      <c r="T42" s="51">
        <v>398719.78499999997</v>
      </c>
      <c r="U42" s="1">
        <v>386700.565</v>
      </c>
      <c r="V42" s="1">
        <v>417520.58</v>
      </c>
      <c r="W42" s="157">
        <v>435486.87199999997</v>
      </c>
      <c r="X42" s="157">
        <v>438445.49699999997</v>
      </c>
      <c r="Y42" s="157">
        <v>447697.12099999998</v>
      </c>
      <c r="Z42" s="157">
        <v>465922.315</v>
      </c>
      <c r="AA42" s="157">
        <v>477678.26199999999</v>
      </c>
      <c r="AB42" s="157">
        <v>551114.29799999995</v>
      </c>
      <c r="AC42" s="157">
        <v>565312</v>
      </c>
      <c r="AD42" s="1">
        <v>555978.07499999995</v>
      </c>
      <c r="AE42" s="1">
        <v>527689.28799999994</v>
      </c>
      <c r="AF42" s="1">
        <v>493457.35700000002</v>
      </c>
      <c r="AG42" s="1">
        <v>483695.90500000003</v>
      </c>
      <c r="AH42" s="1">
        <v>495213.20500000002</v>
      </c>
      <c r="AI42" s="1">
        <v>504507.609</v>
      </c>
      <c r="AK42" s="1">
        <v>517738.277</v>
      </c>
    </row>
    <row r="43" spans="1:37" ht="12.75" customHeight="1">
      <c r="A43" s="1" t="s">
        <v>55</v>
      </c>
      <c r="J43" s="157">
        <v>112034.747</v>
      </c>
      <c r="M43" s="1">
        <v>129135.902</v>
      </c>
      <c r="O43" s="1">
        <v>103292.35875</v>
      </c>
      <c r="R43" s="20">
        <v>161726.62299999999</v>
      </c>
      <c r="S43" s="1">
        <v>184607.796</v>
      </c>
      <c r="T43" s="51">
        <v>238169.73499999999</v>
      </c>
      <c r="U43" s="1">
        <v>278371.821</v>
      </c>
      <c r="V43" s="1">
        <v>304751.973</v>
      </c>
      <c r="W43" s="157">
        <v>323590.24099999998</v>
      </c>
      <c r="X43" s="157">
        <v>332274.23800000001</v>
      </c>
      <c r="Y43" s="157">
        <v>310076.50900000002</v>
      </c>
      <c r="Z43" s="157">
        <v>319017.96500000003</v>
      </c>
      <c r="AA43" s="157">
        <v>334737.26899999997</v>
      </c>
      <c r="AB43" s="157">
        <v>389051.79499999998</v>
      </c>
      <c r="AC43" s="157">
        <v>453993</v>
      </c>
      <c r="AD43" s="1">
        <v>440498.348</v>
      </c>
      <c r="AE43" s="1">
        <v>420506.87599999999</v>
      </c>
      <c r="AF43" s="1">
        <v>400366.60800000001</v>
      </c>
      <c r="AG43" s="1">
        <v>386594.33299999998</v>
      </c>
      <c r="AH43" s="1">
        <v>381310.29100000003</v>
      </c>
      <c r="AI43" s="1">
        <v>392146.49</v>
      </c>
      <c r="AK43" s="1">
        <v>455224.66399999999</v>
      </c>
    </row>
    <row r="44" spans="1:37" ht="12.75" customHeight="1">
      <c r="A44" s="1" t="s">
        <v>56</v>
      </c>
      <c r="J44" s="157">
        <v>524813.21600000001</v>
      </c>
      <c r="M44" s="1">
        <v>595443.76100000006</v>
      </c>
      <c r="O44" s="1">
        <v>607888.41200000001</v>
      </c>
      <c r="R44" s="20">
        <v>750947.86499999999</v>
      </c>
      <c r="S44" s="1">
        <v>829039.28</v>
      </c>
      <c r="T44" s="51">
        <v>1025176.813</v>
      </c>
      <c r="U44" s="1">
        <v>1079998.2220000001</v>
      </c>
      <c r="V44" s="1">
        <v>1147052.023</v>
      </c>
      <c r="W44" s="157">
        <v>1197925.4080000001</v>
      </c>
      <c r="X44" s="157">
        <v>1221297.952</v>
      </c>
      <c r="Y44" s="157">
        <v>1244671.014</v>
      </c>
      <c r="Z44" s="157">
        <v>1287415.6499999999</v>
      </c>
      <c r="AA44" s="157">
        <v>1379361.828</v>
      </c>
      <c r="AB44" s="157">
        <v>1590731.6440000001</v>
      </c>
      <c r="AC44" s="157">
        <v>1691163</v>
      </c>
      <c r="AD44" s="1">
        <v>1723063.139</v>
      </c>
      <c r="AE44" s="1">
        <v>1732775.7150000001</v>
      </c>
      <c r="AF44" s="1">
        <v>1669105.0109999999</v>
      </c>
      <c r="AG44" s="1">
        <v>1676140.416</v>
      </c>
      <c r="AH44" s="1">
        <v>1726376.4210000001</v>
      </c>
      <c r="AI44" s="1">
        <v>1770331.8330000001</v>
      </c>
      <c r="AK44" s="1">
        <v>1917243.385</v>
      </c>
    </row>
    <row r="45" spans="1:37" ht="12.75" customHeight="1">
      <c r="A45" s="1" t="s">
        <v>57</v>
      </c>
      <c r="J45" s="157">
        <v>238270.75099999999</v>
      </c>
      <c r="M45" s="1">
        <v>265874.71600000001</v>
      </c>
      <c r="O45" s="1">
        <v>238087.283</v>
      </c>
      <c r="R45" s="20">
        <v>344901.70699999999</v>
      </c>
      <c r="S45" s="1">
        <v>342855.75799999997</v>
      </c>
      <c r="T45" s="51">
        <v>403213.54100000003</v>
      </c>
      <c r="U45" s="1">
        <v>412578.55</v>
      </c>
      <c r="V45" s="1">
        <v>451019.951</v>
      </c>
      <c r="W45" s="157">
        <v>454150.12599999999</v>
      </c>
      <c r="X45" s="157">
        <v>462668.83</v>
      </c>
      <c r="Y45" s="157">
        <v>482787.821</v>
      </c>
      <c r="Z45" s="157">
        <v>514456.87099999998</v>
      </c>
      <c r="AA45" s="157">
        <v>493760.00900000002</v>
      </c>
      <c r="AB45" s="157">
        <v>603846.10699999996</v>
      </c>
      <c r="AC45" s="157">
        <v>666560</v>
      </c>
      <c r="AD45" s="1">
        <v>654286.00699999998</v>
      </c>
      <c r="AE45" s="1">
        <v>641627.88899999997</v>
      </c>
      <c r="AF45" s="1">
        <v>619464.93700000003</v>
      </c>
      <c r="AG45" s="1">
        <v>606695.78399999999</v>
      </c>
      <c r="AH45" s="1">
        <v>578362.03399999999</v>
      </c>
      <c r="AI45" s="1">
        <v>572821.62</v>
      </c>
      <c r="AK45" s="1">
        <v>622506.429</v>
      </c>
    </row>
    <row r="46" spans="1:37" ht="12.75" customHeight="1">
      <c r="A46" s="1" t="s">
        <v>58</v>
      </c>
      <c r="J46" s="157">
        <v>114436.815</v>
      </c>
      <c r="M46" s="1">
        <v>111416.995</v>
      </c>
      <c r="O46" s="1">
        <v>91095.270999999993</v>
      </c>
      <c r="R46" s="20">
        <v>162872.59899999999</v>
      </c>
      <c r="S46" s="1">
        <v>270514.23499999999</v>
      </c>
      <c r="T46" s="51">
        <v>202581.978</v>
      </c>
      <c r="U46" s="1">
        <v>243699.26300000001</v>
      </c>
      <c r="V46" s="1">
        <v>247380.11300000001</v>
      </c>
      <c r="W46" s="157">
        <v>284710.55200000003</v>
      </c>
      <c r="X46" s="157">
        <v>289006.20299999998</v>
      </c>
      <c r="Y46" s="157">
        <v>289509.34100000001</v>
      </c>
      <c r="Z46" s="157">
        <v>323579.91100000002</v>
      </c>
      <c r="AA46" s="157">
        <v>319995.69</v>
      </c>
      <c r="AB46" s="157">
        <v>379867.19</v>
      </c>
      <c r="AC46" s="157">
        <v>413601</v>
      </c>
      <c r="AD46" s="1">
        <v>397013.55900000001</v>
      </c>
      <c r="AE46" s="1">
        <v>392758.68699999998</v>
      </c>
      <c r="AF46" s="1">
        <v>368100.83899999998</v>
      </c>
      <c r="AG46" s="1">
        <v>356337.44500000001</v>
      </c>
      <c r="AH46" s="1">
        <v>353647.44699999999</v>
      </c>
      <c r="AI46" s="1">
        <v>348028.62400000001</v>
      </c>
      <c r="AK46" s="1">
        <v>364216.88</v>
      </c>
    </row>
    <row r="47" spans="1:37" ht="12.75" customHeight="1">
      <c r="A47" s="1" t="s">
        <v>59</v>
      </c>
      <c r="J47" s="157">
        <v>85878.659</v>
      </c>
      <c r="M47" s="1">
        <v>84184.841</v>
      </c>
      <c r="O47" s="1">
        <v>76439.112999999998</v>
      </c>
      <c r="R47" s="27">
        <v>106900.643</v>
      </c>
      <c r="S47" s="1">
        <v>109866.815</v>
      </c>
      <c r="T47" s="51">
        <v>144998.50200000001</v>
      </c>
      <c r="U47" s="1">
        <v>158623.46299999999</v>
      </c>
      <c r="V47" s="1">
        <v>189560.73699999999</v>
      </c>
      <c r="W47" s="157">
        <v>208604.609</v>
      </c>
      <c r="X47" s="157">
        <v>205984.36</v>
      </c>
      <c r="Y47" s="157">
        <v>203293.30600000001</v>
      </c>
      <c r="Z47" s="157">
        <v>207884.45600000001</v>
      </c>
      <c r="AA47" s="157">
        <v>161135.98000000001</v>
      </c>
      <c r="AB47" s="157">
        <v>268752.51</v>
      </c>
      <c r="AC47" s="157">
        <v>302842</v>
      </c>
      <c r="AD47" s="1">
        <v>296687.29800000001</v>
      </c>
      <c r="AE47" s="1">
        <v>275632.554</v>
      </c>
      <c r="AF47" s="1">
        <v>259226.83499999999</v>
      </c>
      <c r="AG47" s="1">
        <v>262175.60700000002</v>
      </c>
      <c r="AH47" s="1">
        <v>261907.86199999999</v>
      </c>
      <c r="AI47" s="1">
        <v>278168.576</v>
      </c>
      <c r="AK47" s="1">
        <v>353157.47200000001</v>
      </c>
    </row>
    <row r="48" spans="1:37" ht="12.75" customHeight="1">
      <c r="A48" s="1" t="s">
        <v>60</v>
      </c>
      <c r="J48" s="157">
        <v>63059.237000000001</v>
      </c>
      <c r="M48" s="1">
        <v>69300.819000000003</v>
      </c>
      <c r="O48" s="1">
        <v>58037.336000000003</v>
      </c>
      <c r="R48" s="20">
        <v>70974.661999999997</v>
      </c>
      <c r="S48" s="1">
        <v>79873.149000000005</v>
      </c>
      <c r="T48" s="51">
        <v>100738.909</v>
      </c>
      <c r="U48" s="1">
        <v>124637.943</v>
      </c>
      <c r="V48" s="1">
        <v>146887.446</v>
      </c>
      <c r="W48" s="157">
        <v>147628.17499999999</v>
      </c>
      <c r="X48" s="157">
        <v>146455.85699999999</v>
      </c>
      <c r="Y48" s="157">
        <v>151355.253</v>
      </c>
      <c r="Z48" s="157">
        <v>158889.69899999999</v>
      </c>
      <c r="AA48" s="157">
        <v>145909.954</v>
      </c>
      <c r="AB48" s="157">
        <v>171360.66699999999</v>
      </c>
      <c r="AC48" s="157">
        <v>181689</v>
      </c>
      <c r="AD48" s="1">
        <v>169074.04399999999</v>
      </c>
      <c r="AE48" s="1">
        <v>146774.52600000001</v>
      </c>
      <c r="AF48" s="1">
        <v>140673.82800000001</v>
      </c>
      <c r="AG48" s="1">
        <v>132963.818</v>
      </c>
      <c r="AH48" s="1">
        <v>136337.36900000001</v>
      </c>
      <c r="AI48" s="1">
        <v>135525.70000000001</v>
      </c>
      <c r="AK48" s="1">
        <v>143681.598</v>
      </c>
    </row>
    <row r="49" spans="1:37" ht="12.75" customHeight="1">
      <c r="A49" s="1" t="s">
        <v>61</v>
      </c>
      <c r="J49" s="157">
        <v>379440.701</v>
      </c>
      <c r="M49" s="1">
        <v>369518.79700000002</v>
      </c>
      <c r="O49" s="1">
        <v>301851.21899999998</v>
      </c>
      <c r="R49" s="20">
        <v>446991.58</v>
      </c>
      <c r="S49" s="1">
        <v>519021.50900000002</v>
      </c>
      <c r="T49" s="51">
        <v>621494.00199999998</v>
      </c>
      <c r="U49" s="1">
        <v>707979.46400000004</v>
      </c>
      <c r="V49" s="1">
        <v>781714.18500000006</v>
      </c>
      <c r="W49" s="157">
        <v>809498.87300000002</v>
      </c>
      <c r="X49" s="157">
        <v>805496.5</v>
      </c>
      <c r="Y49" s="157">
        <v>824439.25800000003</v>
      </c>
      <c r="Z49" s="157">
        <v>858034.44900000002</v>
      </c>
      <c r="AA49" s="157">
        <v>819629.34499999997</v>
      </c>
      <c r="AB49" s="157">
        <v>1084051.1229999999</v>
      </c>
      <c r="AC49" s="157">
        <v>1224985</v>
      </c>
      <c r="AD49" s="1">
        <v>1137726.0730000001</v>
      </c>
      <c r="AE49" s="1">
        <v>1051512.095</v>
      </c>
      <c r="AF49" s="1">
        <v>985347.79599999997</v>
      </c>
      <c r="AG49" s="1">
        <v>927806.78700000001</v>
      </c>
      <c r="AH49" s="1">
        <v>928343.88899999997</v>
      </c>
      <c r="AI49" s="1">
        <v>922150.14899999998</v>
      </c>
      <c r="AK49" s="1">
        <v>980470.96600000001</v>
      </c>
    </row>
    <row r="50" spans="1:37" ht="12.75" customHeight="1">
      <c r="A50" s="1" t="s">
        <v>62</v>
      </c>
      <c r="J50" s="157">
        <v>37254.067000000003</v>
      </c>
      <c r="M50" s="1">
        <v>37184.612999999998</v>
      </c>
      <c r="O50" s="1">
        <v>22990.06409</v>
      </c>
      <c r="R50" s="20">
        <v>52350.120999999999</v>
      </c>
      <c r="S50" s="1">
        <v>60932.250999999997</v>
      </c>
      <c r="T50" s="51">
        <v>70401.775999999998</v>
      </c>
      <c r="U50" s="1">
        <v>81320.141000000003</v>
      </c>
      <c r="V50" s="1">
        <v>89898.911999999997</v>
      </c>
      <c r="W50" s="157">
        <v>87649.956000000006</v>
      </c>
      <c r="X50" s="157">
        <v>92452.634000000005</v>
      </c>
      <c r="Y50" s="157">
        <v>105343.516</v>
      </c>
      <c r="Z50" s="157">
        <v>111839.571</v>
      </c>
      <c r="AA50" s="157">
        <v>97669.036999999997</v>
      </c>
      <c r="AB50" s="157">
        <v>167140.158</v>
      </c>
      <c r="AC50" s="157">
        <v>179538</v>
      </c>
      <c r="AD50" s="1">
        <v>161025.82199999999</v>
      </c>
      <c r="AE50" s="1">
        <v>117029.255</v>
      </c>
      <c r="AF50" s="1">
        <v>105512.13800000001</v>
      </c>
      <c r="AG50" s="1">
        <v>101564.466</v>
      </c>
      <c r="AH50" s="1">
        <v>103108.91499999999</v>
      </c>
      <c r="AI50" s="1">
        <v>104566.496</v>
      </c>
      <c r="AK50" s="1">
        <v>108665.261</v>
      </c>
    </row>
    <row r="51" spans="1:37" ht="12.75" customHeight="1">
      <c r="A51" s="30" t="s">
        <v>63</v>
      </c>
      <c r="B51" s="30"/>
      <c r="C51" s="30"/>
      <c r="D51" s="30"/>
      <c r="E51" s="30"/>
      <c r="F51" s="30"/>
      <c r="G51" s="30"/>
      <c r="H51" s="30"/>
      <c r="I51" s="30"/>
      <c r="J51" s="158">
        <v>317420.80499999999</v>
      </c>
      <c r="K51" s="30"/>
      <c r="L51" s="30"/>
      <c r="M51" s="30">
        <v>357783.07500000001</v>
      </c>
      <c r="N51" s="30"/>
      <c r="O51" s="30">
        <v>321096.47899999999</v>
      </c>
      <c r="P51" s="30"/>
      <c r="Q51" s="30"/>
      <c r="R51" s="40">
        <v>421522.79499999998</v>
      </c>
      <c r="S51" s="30">
        <v>468594.27600000001</v>
      </c>
      <c r="T51" s="68">
        <v>451994.353</v>
      </c>
      <c r="U51" s="30">
        <v>537182.15300000005</v>
      </c>
      <c r="V51" s="30">
        <v>579847.35199999996</v>
      </c>
      <c r="W51" s="158">
        <v>617864.65099999995</v>
      </c>
      <c r="X51" s="158">
        <v>632619.96600000001</v>
      </c>
      <c r="Y51" s="158">
        <v>627778.25399999996</v>
      </c>
      <c r="Z51" s="158">
        <v>622827.05900000001</v>
      </c>
      <c r="AA51" s="158">
        <v>737294.56900000002</v>
      </c>
      <c r="AB51" s="158">
        <v>737566.79299999995</v>
      </c>
      <c r="AC51" s="158">
        <v>770318</v>
      </c>
      <c r="AD51" s="30">
        <v>767297.33299999998</v>
      </c>
      <c r="AE51" s="30">
        <v>783095.23600000003</v>
      </c>
      <c r="AF51" s="30">
        <v>740788.24399999995</v>
      </c>
      <c r="AG51" s="30">
        <v>712367.39599999995</v>
      </c>
      <c r="AH51" s="30">
        <v>733759.31200000003</v>
      </c>
      <c r="AI51" s="30">
        <v>711946.9</v>
      </c>
      <c r="AJ51" s="30"/>
      <c r="AK51" s="30">
        <v>750045.92799999996</v>
      </c>
    </row>
    <row r="52" spans="1:37" ht="12.75" customHeight="1">
      <c r="A52" s="6" t="s">
        <v>64</v>
      </c>
      <c r="J52" s="58">
        <f>SUM(J54:J62)</f>
        <v>1276211.0190000001</v>
      </c>
      <c r="M52" s="58">
        <f>SUM(M54:M62)</f>
        <v>1542773.067</v>
      </c>
      <c r="O52" s="58">
        <f>SUM(O54:O62)</f>
        <v>1452109.9380000001</v>
      </c>
      <c r="R52" s="58">
        <f t="shared" ref="R52:AK52" si="18">SUM(R54:R62)</f>
        <v>1961861.3589999997</v>
      </c>
      <c r="S52" s="58">
        <f t="shared" si="18"/>
        <v>2133647.2310000001</v>
      </c>
      <c r="T52" s="58">
        <f t="shared" si="18"/>
        <v>2180073.7450000001</v>
      </c>
      <c r="U52" s="58">
        <f t="shared" si="18"/>
        <v>1909326.993</v>
      </c>
      <c r="V52" s="58">
        <f t="shared" si="18"/>
        <v>2042819.0760000001</v>
      </c>
      <c r="W52" s="58">
        <f t="shared" si="18"/>
        <v>2384146.5389999999</v>
      </c>
      <c r="X52" s="58">
        <f t="shared" si="18"/>
        <v>2291847.9580000001</v>
      </c>
      <c r="Y52" s="58">
        <f t="shared" si="18"/>
        <v>2338011.503</v>
      </c>
      <c r="Z52" s="58">
        <f t="shared" si="18"/>
        <v>2467900.8300000005</v>
      </c>
      <c r="AA52" s="58">
        <f t="shared" si="18"/>
        <v>2250546.693</v>
      </c>
      <c r="AB52" s="58">
        <f t="shared" si="18"/>
        <v>3175492.77</v>
      </c>
      <c r="AC52" s="58">
        <f t="shared" si="18"/>
        <v>3433898</v>
      </c>
      <c r="AD52" s="58">
        <f t="shared" si="18"/>
        <v>3329237.83</v>
      </c>
      <c r="AE52" s="58">
        <f t="shared" si="18"/>
        <v>3030456.3289999999</v>
      </c>
      <c r="AF52" s="58">
        <f t="shared" si="18"/>
        <v>3098136.0490000001</v>
      </c>
      <c r="AG52" s="58">
        <f t="shared" si="18"/>
        <v>3116822.1049999995</v>
      </c>
      <c r="AH52" s="58">
        <f t="shared" si="18"/>
        <v>3243736.4279999998</v>
      </c>
      <c r="AI52" s="58">
        <f t="shared" si="18"/>
        <v>3259401.2229999998</v>
      </c>
      <c r="AJ52" s="58">
        <f t="shared" si="18"/>
        <v>0</v>
      </c>
      <c r="AK52" s="58">
        <f t="shared" si="18"/>
        <v>3705695.1639999999</v>
      </c>
    </row>
    <row r="53" spans="1:37" ht="12.75" customHeight="1">
      <c r="A53" s="6" t="s">
        <v>94</v>
      </c>
      <c r="T53" s="51"/>
    </row>
    <row r="54" spans="1:37" ht="12.75" customHeight="1">
      <c r="A54" s="1" t="s">
        <v>65</v>
      </c>
      <c r="J54" s="157">
        <v>70383.838000000003</v>
      </c>
      <c r="M54" s="1">
        <v>76971.989000000001</v>
      </c>
      <c r="O54" s="1">
        <v>85264.384999999995</v>
      </c>
      <c r="R54" s="20">
        <v>98163.06</v>
      </c>
      <c r="S54" s="1">
        <v>113102.03</v>
      </c>
      <c r="T54" s="51">
        <v>159703.55499999999</v>
      </c>
      <c r="U54" s="1">
        <v>152317.639</v>
      </c>
      <c r="V54" s="1">
        <v>166754.39000000001</v>
      </c>
      <c r="W54" s="157">
        <v>265800.71000000002</v>
      </c>
      <c r="X54" s="157">
        <v>176680.81599999999</v>
      </c>
      <c r="Y54" s="157">
        <v>179253.641</v>
      </c>
      <c r="Z54" s="157">
        <v>178219.878</v>
      </c>
      <c r="AA54" s="157">
        <v>186525.87100000001</v>
      </c>
      <c r="AB54" s="157">
        <v>210113.02600000001</v>
      </c>
      <c r="AC54" s="157">
        <v>232531</v>
      </c>
      <c r="AD54" s="1">
        <v>226106.80100000001</v>
      </c>
      <c r="AE54" s="1">
        <v>221744.79399999999</v>
      </c>
      <c r="AF54" s="1">
        <v>224341.48300000001</v>
      </c>
      <c r="AG54" s="1">
        <v>220786.152</v>
      </c>
      <c r="AH54" s="1">
        <v>235239.12899999999</v>
      </c>
      <c r="AI54" s="1">
        <v>229776.53599999999</v>
      </c>
      <c r="AK54" s="1">
        <v>267120.89799999999</v>
      </c>
    </row>
    <row r="55" spans="1:37" ht="12.75" customHeight="1">
      <c r="A55" s="1" t="s">
        <v>66</v>
      </c>
      <c r="J55" s="157">
        <v>35783.741000000002</v>
      </c>
      <c r="M55" s="1">
        <v>39321.120999999999</v>
      </c>
      <c r="O55" s="1">
        <v>28637.571</v>
      </c>
      <c r="R55" s="20">
        <v>51438.139000000003</v>
      </c>
      <c r="S55" s="1">
        <v>54959.705000000002</v>
      </c>
      <c r="T55" s="51">
        <v>67775.686000000002</v>
      </c>
      <c r="U55" s="1">
        <v>74740.392999999996</v>
      </c>
      <c r="V55" s="1">
        <v>81759.293000000005</v>
      </c>
      <c r="W55" s="157">
        <v>79979.792000000001</v>
      </c>
      <c r="X55" s="157">
        <v>79472.960000000006</v>
      </c>
      <c r="Y55" s="157">
        <v>80726.782000000007</v>
      </c>
      <c r="Z55" s="157">
        <v>80373.519</v>
      </c>
      <c r="AA55" s="157">
        <v>83274.005000000005</v>
      </c>
      <c r="AB55" s="157">
        <v>101701.482</v>
      </c>
      <c r="AC55" s="157">
        <v>112231</v>
      </c>
      <c r="AD55" s="1">
        <v>105223.11500000001</v>
      </c>
      <c r="AE55" s="1">
        <v>98319.471999999994</v>
      </c>
      <c r="AF55" s="1">
        <v>97712.588000000003</v>
      </c>
      <c r="AG55" s="1">
        <v>92682.838000000003</v>
      </c>
      <c r="AH55" s="1">
        <v>97119</v>
      </c>
      <c r="AI55" s="1">
        <v>91891.680999999997</v>
      </c>
      <c r="AK55" s="1">
        <v>94563.392000000007</v>
      </c>
    </row>
    <row r="56" spans="1:37" ht="12.75" customHeight="1">
      <c r="A56" s="1" t="s">
        <v>67</v>
      </c>
      <c r="J56" s="157">
        <v>128115.954</v>
      </c>
      <c r="M56" s="1">
        <v>140915.87899999999</v>
      </c>
      <c r="O56" s="1">
        <v>131311.43799999999</v>
      </c>
      <c r="R56" s="20">
        <v>188828.5</v>
      </c>
      <c r="S56" s="1">
        <v>209637.06400000001</v>
      </c>
      <c r="T56" s="51">
        <v>244634.04</v>
      </c>
      <c r="U56" s="1">
        <v>280129.8</v>
      </c>
      <c r="V56" s="1">
        <v>302806.48100000003</v>
      </c>
      <c r="W56" s="157">
        <v>312914.27299999999</v>
      </c>
      <c r="X56" s="157">
        <v>326812.42599999998</v>
      </c>
      <c r="Y56" s="157">
        <v>320429.63699999999</v>
      </c>
      <c r="Z56" s="157">
        <v>347908.03399999999</v>
      </c>
      <c r="AA56" s="157">
        <v>220644.33100000001</v>
      </c>
      <c r="AB56" s="157">
        <v>469386.28899999999</v>
      </c>
      <c r="AC56" s="157">
        <v>520776</v>
      </c>
      <c r="AD56" s="1">
        <v>492473.53600000002</v>
      </c>
      <c r="AE56" s="1">
        <v>470411.3</v>
      </c>
      <c r="AF56" s="1">
        <v>462962.50599999999</v>
      </c>
      <c r="AG56" s="1">
        <v>461482.05099999998</v>
      </c>
      <c r="AH56" s="1">
        <v>471748.473</v>
      </c>
      <c r="AI56" s="1">
        <v>489460.28899999999</v>
      </c>
      <c r="AK56" s="1">
        <v>520978.81099999999</v>
      </c>
    </row>
    <row r="57" spans="1:37" ht="12.75" customHeight="1">
      <c r="A57" s="1" t="s">
        <v>68</v>
      </c>
      <c r="J57" s="157">
        <v>38116.107000000004</v>
      </c>
      <c r="M57" s="1">
        <v>36736.987999999998</v>
      </c>
      <c r="O57" s="1">
        <v>34822.43</v>
      </c>
      <c r="R57" s="27">
        <v>58163.597000000002</v>
      </c>
      <c r="S57" s="1">
        <v>67067.129000000001</v>
      </c>
      <c r="T57" s="51">
        <v>74520.569000000003</v>
      </c>
      <c r="U57" s="1">
        <v>79610.184999999998</v>
      </c>
      <c r="V57" s="1">
        <v>92075.64</v>
      </c>
      <c r="W57" s="157">
        <v>91920.517000000007</v>
      </c>
      <c r="X57" s="157">
        <v>100395.372</v>
      </c>
      <c r="Y57" s="157">
        <v>93521.381999999998</v>
      </c>
      <c r="Z57" s="157">
        <v>92949.327000000005</v>
      </c>
      <c r="AA57" s="157">
        <v>86785.861000000004</v>
      </c>
      <c r="AB57" s="157">
        <v>88539.407999999996</v>
      </c>
      <c r="AC57" s="157">
        <v>93768</v>
      </c>
      <c r="AD57" s="1">
        <v>95890.856</v>
      </c>
      <c r="AE57" s="1">
        <v>102094.432</v>
      </c>
      <c r="AF57" s="1">
        <v>101174.856</v>
      </c>
      <c r="AG57" s="1">
        <v>100715.715</v>
      </c>
      <c r="AH57" s="1">
        <v>98584.269</v>
      </c>
      <c r="AI57" s="1">
        <v>94812.612999999998</v>
      </c>
      <c r="AK57" s="1">
        <v>101957.63099999999</v>
      </c>
    </row>
    <row r="58" spans="1:37" ht="12.75" customHeight="1">
      <c r="A58" s="1" t="s">
        <v>69</v>
      </c>
      <c r="J58" s="157">
        <v>81311.100000000006</v>
      </c>
      <c r="M58" s="1">
        <v>102892.88099999999</v>
      </c>
      <c r="O58" s="1">
        <v>189997.16200000001</v>
      </c>
      <c r="R58" s="27">
        <v>153056.353</v>
      </c>
      <c r="S58" s="1">
        <v>169806.70800000001</v>
      </c>
      <c r="T58" s="51">
        <v>200185.38500000001</v>
      </c>
      <c r="U58" s="1">
        <v>221169.209</v>
      </c>
      <c r="V58" s="1">
        <v>254877.65100000001</v>
      </c>
      <c r="W58" s="157">
        <v>480614.02600000001</v>
      </c>
      <c r="X58" s="157">
        <v>464182.61099999998</v>
      </c>
      <c r="Y58" s="157">
        <v>484881.42200000002</v>
      </c>
      <c r="Z58" s="157">
        <v>501799.12099999998</v>
      </c>
      <c r="AA58" s="157">
        <v>380489.86499999999</v>
      </c>
      <c r="AB58" s="157">
        <v>601850.20600000001</v>
      </c>
      <c r="AC58" s="157">
        <v>636373</v>
      </c>
      <c r="AD58" s="1">
        <v>662479.20799999998</v>
      </c>
      <c r="AE58" s="1">
        <v>512980.745</v>
      </c>
      <c r="AF58" s="1">
        <v>614109.04200000002</v>
      </c>
      <c r="AG58" s="1">
        <v>622768.40300000005</v>
      </c>
      <c r="AH58" s="1">
        <v>644401.74399999995</v>
      </c>
      <c r="AI58" s="1">
        <v>649858.49100000004</v>
      </c>
      <c r="AK58" s="1">
        <v>810088.11399999994</v>
      </c>
    </row>
    <row r="59" spans="1:37" ht="12.75" customHeight="1">
      <c r="A59" s="1" t="s">
        <v>70</v>
      </c>
      <c r="J59" s="157">
        <v>397293.65100000001</v>
      </c>
      <c r="M59" s="1">
        <v>533707.76899999997</v>
      </c>
      <c r="O59" s="1">
        <v>454805.95699999999</v>
      </c>
      <c r="R59" s="27">
        <v>629733.728</v>
      </c>
      <c r="S59" s="1">
        <v>730112.82200000004</v>
      </c>
      <c r="T59" s="51">
        <v>814355.41299999994</v>
      </c>
      <c r="U59" s="1">
        <v>820884.41700000002</v>
      </c>
      <c r="V59" s="1">
        <v>855883.75899999996</v>
      </c>
      <c r="W59" s="157">
        <v>870141.60699999996</v>
      </c>
      <c r="X59" s="157">
        <v>865185.41899999999</v>
      </c>
      <c r="Y59" s="157">
        <v>885501.10199999996</v>
      </c>
      <c r="Z59" s="157">
        <v>950939.50699999998</v>
      </c>
      <c r="AA59" s="157">
        <v>956620.83299999998</v>
      </c>
      <c r="AB59" s="157">
        <v>1289795.2320000001</v>
      </c>
      <c r="AC59" s="157">
        <v>1376455</v>
      </c>
      <c r="AD59" s="1">
        <v>1301177.061</v>
      </c>
      <c r="AE59" s="1">
        <v>1203858.1189999999</v>
      </c>
      <c r="AF59" s="1">
        <v>1182079.6100000001</v>
      </c>
      <c r="AG59" s="1">
        <v>1203907.8389999999</v>
      </c>
      <c r="AH59" s="1">
        <v>1286069.1000000001</v>
      </c>
      <c r="AI59" s="1">
        <v>1300209.7579999999</v>
      </c>
      <c r="AK59" s="1">
        <v>1475551.1429999999</v>
      </c>
    </row>
    <row r="60" spans="1:37" ht="12.75" customHeight="1">
      <c r="A60" s="1" t="s">
        <v>71</v>
      </c>
      <c r="J60" s="157">
        <v>447045.55</v>
      </c>
      <c r="M60" s="1">
        <v>529179.86699999997</v>
      </c>
      <c r="O60" s="1">
        <v>446374.28200000001</v>
      </c>
      <c r="R60" s="20">
        <v>674769.397</v>
      </c>
      <c r="S60" s="1">
        <v>670361.88899999997</v>
      </c>
      <c r="T60" s="51">
        <v>472890.97</v>
      </c>
      <c r="U60" s="1">
        <v>109281.64</v>
      </c>
      <c r="V60" s="1">
        <v>114923.861</v>
      </c>
      <c r="W60" s="157">
        <v>110521.614</v>
      </c>
      <c r="X60" s="157">
        <v>105942.098</v>
      </c>
      <c r="Y60" s="157">
        <v>113460.478</v>
      </c>
      <c r="Z60" s="157">
        <v>118711.149</v>
      </c>
      <c r="AA60" s="157">
        <v>129821.54399999999</v>
      </c>
      <c r="AB60" s="157">
        <v>176535.55100000001</v>
      </c>
      <c r="AC60" s="157">
        <v>197977</v>
      </c>
      <c r="AD60" s="1">
        <v>187554.08199999999</v>
      </c>
      <c r="AE60" s="1">
        <v>177797.11300000001</v>
      </c>
      <c r="AF60" s="1">
        <v>177773.10699999999</v>
      </c>
      <c r="AG60" s="1">
        <v>178653.242</v>
      </c>
      <c r="AH60" s="1">
        <v>173555.56400000001</v>
      </c>
      <c r="AI60" s="1">
        <v>169423.59400000001</v>
      </c>
      <c r="AK60" s="1">
        <v>179704.17800000001</v>
      </c>
    </row>
    <row r="61" spans="1:37" ht="12.75" customHeight="1">
      <c r="A61" s="1" t="s">
        <v>72</v>
      </c>
      <c r="J61" s="157">
        <v>41958.629000000001</v>
      </c>
      <c r="M61" s="1">
        <v>44484.671999999999</v>
      </c>
      <c r="O61" s="1">
        <v>42269.207999999999</v>
      </c>
      <c r="R61" s="20">
        <v>58390.608</v>
      </c>
      <c r="S61" s="1">
        <v>61557.870999999999</v>
      </c>
      <c r="T61" s="51">
        <v>60689.057999999997</v>
      </c>
      <c r="U61" s="1">
        <v>69975.400999999998</v>
      </c>
      <c r="V61" s="1">
        <v>64485.203000000001</v>
      </c>
      <c r="W61" s="157">
        <v>60723.591999999997</v>
      </c>
      <c r="X61" s="157">
        <v>61726.828999999998</v>
      </c>
      <c r="Y61" s="157">
        <v>69059.691000000006</v>
      </c>
      <c r="Z61" s="157">
        <v>69937.111999999994</v>
      </c>
      <c r="AA61" s="157">
        <v>78282.013000000006</v>
      </c>
      <c r="AB61" s="157">
        <v>92951.513999999996</v>
      </c>
      <c r="AC61" s="157">
        <v>104240</v>
      </c>
      <c r="AD61" s="1">
        <v>113044.663</v>
      </c>
      <c r="AE61" s="1">
        <v>107489.7</v>
      </c>
      <c r="AF61" s="1">
        <v>100646.583</v>
      </c>
      <c r="AG61" s="1">
        <v>98174.835000000006</v>
      </c>
      <c r="AH61" s="1">
        <v>96336.678</v>
      </c>
      <c r="AI61" s="1">
        <v>100397.886</v>
      </c>
      <c r="AK61" s="1">
        <v>110976.08</v>
      </c>
    </row>
    <row r="62" spans="1:37" ht="12.75" customHeight="1">
      <c r="A62" s="30" t="s">
        <v>73</v>
      </c>
      <c r="B62" s="30"/>
      <c r="C62" s="30"/>
      <c r="D62" s="30"/>
      <c r="E62" s="30"/>
      <c r="F62" s="30"/>
      <c r="G62" s="30"/>
      <c r="H62" s="30"/>
      <c r="I62" s="30"/>
      <c r="J62" s="158">
        <v>36202.449000000001</v>
      </c>
      <c r="K62" s="30"/>
      <c r="L62" s="30"/>
      <c r="M62" s="30">
        <v>38561.900999999998</v>
      </c>
      <c r="N62" s="30"/>
      <c r="O62" s="30">
        <v>38627.504999999997</v>
      </c>
      <c r="P62" s="30"/>
      <c r="Q62" s="30"/>
      <c r="R62" s="40">
        <v>49317.976999999999</v>
      </c>
      <c r="S62" s="30">
        <v>57042.012999999999</v>
      </c>
      <c r="T62" s="68">
        <v>85319.069000000003</v>
      </c>
      <c r="U62" s="30">
        <v>101218.30899999999</v>
      </c>
      <c r="V62" s="30">
        <v>109252.798</v>
      </c>
      <c r="W62" s="158">
        <v>111530.408</v>
      </c>
      <c r="X62" s="158">
        <v>111449.427</v>
      </c>
      <c r="Y62" s="158">
        <v>111177.368</v>
      </c>
      <c r="Z62" s="158">
        <v>127063.183</v>
      </c>
      <c r="AA62" s="158">
        <v>128102.37</v>
      </c>
      <c r="AB62" s="158">
        <v>144620.06200000001</v>
      </c>
      <c r="AC62" s="158">
        <v>159547</v>
      </c>
      <c r="AD62" s="30">
        <v>145288.508</v>
      </c>
      <c r="AE62" s="30">
        <v>135760.65400000001</v>
      </c>
      <c r="AF62" s="30">
        <v>137336.274</v>
      </c>
      <c r="AG62" s="30">
        <v>137651.03</v>
      </c>
      <c r="AH62" s="30">
        <v>140682.47099999999</v>
      </c>
      <c r="AI62" s="30">
        <v>133570.375</v>
      </c>
      <c r="AJ62" s="30"/>
      <c r="AK62" s="30">
        <v>144754.91699999999</v>
      </c>
    </row>
    <row r="63" spans="1:37">
      <c r="A63" s="56" t="s">
        <v>74</v>
      </c>
      <c r="B63" s="53"/>
      <c r="C63" s="53"/>
      <c r="D63" s="53"/>
      <c r="E63" s="53"/>
      <c r="F63" s="53"/>
      <c r="G63" s="53"/>
      <c r="H63" s="53"/>
      <c r="I63" s="53"/>
      <c r="J63" s="159">
        <v>7821.42</v>
      </c>
      <c r="K63" s="53"/>
      <c r="L63" s="53"/>
      <c r="M63" s="53">
        <v>9375.9380000000001</v>
      </c>
      <c r="N63" s="53"/>
      <c r="O63" s="53">
        <v>7191.6432800000002</v>
      </c>
      <c r="P63" s="53"/>
      <c r="Q63" s="53"/>
      <c r="R63" s="54">
        <v>10106.707</v>
      </c>
      <c r="S63" s="53">
        <v>10994.508</v>
      </c>
      <c r="T63" s="55">
        <v>13851.671</v>
      </c>
      <c r="U63" s="53">
        <v>14751.421</v>
      </c>
      <c r="V63" s="53">
        <v>15512.047</v>
      </c>
      <c r="W63" s="159">
        <v>14623.772000000001</v>
      </c>
      <c r="X63" s="159">
        <v>16004.928</v>
      </c>
      <c r="Y63" s="159">
        <v>15532.406000000001</v>
      </c>
      <c r="Z63" s="159">
        <v>23751.858</v>
      </c>
      <c r="AA63" s="159">
        <v>24238.699000000001</v>
      </c>
      <c r="AB63" s="159">
        <v>22267.785</v>
      </c>
      <c r="AC63" s="159">
        <v>30725</v>
      </c>
      <c r="AD63" s="30">
        <v>24021.361000000001</v>
      </c>
      <c r="AE63" s="30">
        <v>22805.916000000001</v>
      </c>
      <c r="AF63" s="30">
        <v>22706.355</v>
      </c>
      <c r="AG63" s="30">
        <v>23588.280999999999</v>
      </c>
      <c r="AH63" s="30">
        <v>23982.206999999999</v>
      </c>
      <c r="AI63" s="30">
        <v>22621.774000000001</v>
      </c>
      <c r="AJ63" s="30"/>
      <c r="AK63" s="30">
        <v>20788.937999999998</v>
      </c>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7">
    <tabColor indexed="62"/>
  </sheetPr>
  <dimension ref="A1:HB92"/>
  <sheetViews>
    <sheetView zoomScaleNormal="100" workbookViewId="0">
      <pane xSplit="1" ySplit="3" topLeftCell="AA4" activePane="bottomRight" state="frozen"/>
      <selection pane="topRight" activeCell="M5" sqref="M5:M6"/>
      <selection pane="bottomLeft" activeCell="M5" sqref="M5:M6"/>
      <selection pane="bottomRight" activeCell="AK7" sqref="AK7:AK22"/>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1" width="9.85546875" style="1" customWidth="1"/>
    <col min="32" max="32" width="13.42578125" style="1" bestFit="1" customWidth="1"/>
    <col min="33" max="37" width="13.42578125" style="1" customWidth="1"/>
    <col min="38"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9">
      <c r="A1" s="39" t="s">
        <v>92</v>
      </c>
      <c r="B1" s="11"/>
      <c r="C1" s="11"/>
      <c r="D1" s="11"/>
      <c r="E1" s="11"/>
      <c r="F1" s="11"/>
      <c r="G1" s="11"/>
      <c r="H1" s="11"/>
      <c r="I1" s="11"/>
      <c r="J1" s="11"/>
      <c r="K1" s="11"/>
      <c r="L1" s="11"/>
      <c r="AM1" s="1">
        <v>1000</v>
      </c>
    </row>
    <row r="2" spans="1:39">
      <c r="A2" s="1" t="s">
        <v>155</v>
      </c>
      <c r="B2" s="11"/>
      <c r="C2" s="11"/>
      <c r="D2" s="11"/>
      <c r="E2" s="11"/>
      <c r="F2" s="11"/>
      <c r="G2" s="11"/>
      <c r="H2" s="11"/>
      <c r="I2" s="11"/>
      <c r="J2" s="11"/>
      <c r="K2" s="11"/>
      <c r="L2" s="11"/>
      <c r="AF2" s="132"/>
      <c r="AG2" s="132"/>
      <c r="AH2" s="132"/>
      <c r="AI2" s="132"/>
      <c r="AJ2" s="132"/>
      <c r="AK2" s="132"/>
    </row>
    <row r="3" spans="1:39">
      <c r="B3" s="43">
        <v>1984</v>
      </c>
      <c r="C3" s="43">
        <v>1985</v>
      </c>
      <c r="D3" s="43">
        <v>1986</v>
      </c>
      <c r="E3" s="43">
        <v>1987</v>
      </c>
      <c r="F3" s="43">
        <v>1988</v>
      </c>
      <c r="G3" s="43">
        <v>1989</v>
      </c>
      <c r="H3" s="43">
        <v>1990</v>
      </c>
      <c r="I3" s="31">
        <v>1991</v>
      </c>
      <c r="J3" s="31">
        <v>1992</v>
      </c>
      <c r="K3" s="31">
        <v>1993</v>
      </c>
      <c r="L3" s="31">
        <v>1994</v>
      </c>
      <c r="M3" s="31">
        <v>1995</v>
      </c>
      <c r="N3" s="31">
        <v>1996</v>
      </c>
      <c r="O3" s="31">
        <v>1997</v>
      </c>
      <c r="P3" s="31">
        <v>1998</v>
      </c>
      <c r="Q3" s="31">
        <v>1999</v>
      </c>
      <c r="R3" s="31">
        <v>2000</v>
      </c>
      <c r="S3" s="31">
        <v>2001</v>
      </c>
      <c r="T3" s="50">
        <v>2002</v>
      </c>
      <c r="U3" s="31">
        <v>2003</v>
      </c>
      <c r="V3" s="31">
        <v>2004</v>
      </c>
      <c r="W3" s="31">
        <v>2005</v>
      </c>
      <c r="X3" s="31">
        <v>2006</v>
      </c>
      <c r="Y3" s="31">
        <v>2007</v>
      </c>
      <c r="Z3" s="31">
        <v>2008</v>
      </c>
      <c r="AA3" s="31">
        <v>2009</v>
      </c>
      <c r="AB3" s="31">
        <v>2010</v>
      </c>
      <c r="AC3" s="31">
        <v>2011</v>
      </c>
      <c r="AD3" s="32">
        <v>2012</v>
      </c>
      <c r="AE3" s="32">
        <v>2013</v>
      </c>
      <c r="AF3" s="32">
        <v>2014</v>
      </c>
      <c r="AG3" s="32">
        <v>2015</v>
      </c>
      <c r="AH3" s="32">
        <v>2016</v>
      </c>
      <c r="AI3" s="32">
        <v>2017</v>
      </c>
      <c r="AJ3" s="131">
        <v>2018</v>
      </c>
      <c r="AK3" s="131">
        <v>2019</v>
      </c>
    </row>
    <row r="4" spans="1:39" ht="12.75" customHeight="1">
      <c r="A4" s="53" t="s">
        <v>19</v>
      </c>
      <c r="B4" s="53">
        <f>(228101+33930+369351+88703)+(887787+681515)</f>
        <v>2289387</v>
      </c>
      <c r="C4" s="53">
        <f>(261509+49034+373828+103360)+(1015732+772378)</f>
        <v>2575841</v>
      </c>
      <c r="D4" s="53">
        <f>(+(315722+507821)+28538+99629)+(1156328+889343)</f>
        <v>2997381</v>
      </c>
      <c r="E4" s="53"/>
      <c r="F4" s="53"/>
      <c r="G4" s="53"/>
      <c r="H4" s="53"/>
      <c r="I4" s="53">
        <v>5088020.2579999994</v>
      </c>
      <c r="J4" s="61">
        <f>+J5+J23+J38+J52+J63</f>
        <v>5644807.0930000003</v>
      </c>
      <c r="K4" s="53">
        <f>(1897225.37+317184.289)+4151944.413</f>
        <v>6366354.0720000006</v>
      </c>
      <c r="L4" s="53">
        <f>(2093302.244+371349.39)+4333663.359</f>
        <v>6798314.9930000007</v>
      </c>
      <c r="M4" s="61">
        <f>+M5+M23+M38+M52+M63</f>
        <v>7077352.904000001</v>
      </c>
      <c r="N4" s="53">
        <f>(2800153.613+481704.871)+4854490.595</f>
        <v>8136349.0789999999</v>
      </c>
      <c r="O4" s="61">
        <f>+O5+O23+O38+O52+O63</f>
        <v>8692645.7789599989</v>
      </c>
      <c r="P4" s="53"/>
      <c r="Q4" s="53"/>
      <c r="R4" s="61">
        <f t="shared" ref="R4:AA4" si="0">+R5+R23+R38+R52+R63</f>
        <v>11156969.479</v>
      </c>
      <c r="S4" s="61">
        <f t="shared" si="0"/>
        <v>12812323.910000004</v>
      </c>
      <c r="T4" s="61">
        <f t="shared" si="0"/>
        <v>12929733.040999999</v>
      </c>
      <c r="U4" s="61">
        <f t="shared" si="0"/>
        <v>14032075.852</v>
      </c>
      <c r="V4" s="61">
        <f t="shared" si="0"/>
        <v>14484588.613999998</v>
      </c>
      <c r="W4" s="61">
        <f t="shared" si="0"/>
        <v>15654936.15</v>
      </c>
      <c r="X4" s="61">
        <f t="shared" si="0"/>
        <v>16656577.633000001</v>
      </c>
      <c r="Y4" s="61">
        <f t="shared" si="0"/>
        <v>18058865.257999998</v>
      </c>
      <c r="Z4" s="61">
        <f t="shared" si="0"/>
        <v>19548920.000999998</v>
      </c>
      <c r="AA4" s="61">
        <f t="shared" si="0"/>
        <v>17452330.188000001</v>
      </c>
      <c r="AB4" s="61">
        <f t="shared" ref="AB4:AC4" si="1">+AB5+AB23+AB38+AB52+AB63</f>
        <v>20736046.635000002</v>
      </c>
      <c r="AC4" s="61">
        <f t="shared" si="1"/>
        <v>21942782</v>
      </c>
      <c r="AD4" s="61">
        <f t="shared" ref="AD4:AE4" si="2">+AD5+AD23+AD38+AD52+AD63</f>
        <v>22317558.107000001</v>
      </c>
      <c r="AE4" s="61">
        <f t="shared" si="2"/>
        <v>22075546.428999998</v>
      </c>
      <c r="AF4" s="61">
        <f t="shared" ref="AF4" si="3">+AF5+AF23+AF38+AF52+AF63</f>
        <v>23649490.748</v>
      </c>
      <c r="AG4" s="61">
        <f t="shared" ref="AG4:AI4" si="4">+AG5+AG23+AG38+AG52+AG63</f>
        <v>24977561.596000005</v>
      </c>
      <c r="AH4" s="61">
        <f t="shared" si="4"/>
        <v>27817949.395999998</v>
      </c>
      <c r="AI4" s="61">
        <f t="shared" si="4"/>
        <v>28430148.500999998</v>
      </c>
      <c r="AJ4" s="61">
        <f t="shared" ref="AJ4:AK4" si="5">+AJ5+AJ23+AJ38+AJ52+AJ63</f>
        <v>0</v>
      </c>
      <c r="AK4" s="61">
        <f t="shared" si="5"/>
        <v>32015434.316999994</v>
      </c>
    </row>
    <row r="5" spans="1:39" ht="12.75" customHeight="1">
      <c r="A5" s="1" t="s">
        <v>20</v>
      </c>
      <c r="B5" s="58">
        <f>SUM(B7:B22)</f>
        <v>775532</v>
      </c>
      <c r="C5" s="58">
        <f t="shared" ref="C5:D5" si="6">SUM(C7:C22)</f>
        <v>887863</v>
      </c>
      <c r="D5" s="58">
        <f t="shared" si="6"/>
        <v>1034620</v>
      </c>
      <c r="I5" s="58">
        <f t="shared" ref="I5:N5" si="7">SUM(I7:I22)</f>
        <v>1831003.7140000002</v>
      </c>
      <c r="J5" s="58">
        <f t="shared" si="7"/>
        <v>1977133.9350000003</v>
      </c>
      <c r="K5" s="58">
        <f t="shared" si="7"/>
        <v>2165103.0369999995</v>
      </c>
      <c r="L5" s="58">
        <f t="shared" si="7"/>
        <v>2389907.568</v>
      </c>
      <c r="M5" s="58">
        <f t="shared" si="7"/>
        <v>2649173.9720000005</v>
      </c>
      <c r="N5" s="58">
        <f t="shared" si="7"/>
        <v>3091177.1690000002</v>
      </c>
      <c r="O5" s="58">
        <f t="shared" ref="O5" si="8">SUM(O7:O22)</f>
        <v>3406905.3572400003</v>
      </c>
      <c r="R5" s="58">
        <f t="shared" ref="R5:AA5" si="9">SUM(R7:R22)</f>
        <v>4425521.5079999994</v>
      </c>
      <c r="S5" s="58">
        <f t="shared" si="9"/>
        <v>5190825.9240000006</v>
      </c>
      <c r="T5" s="58">
        <f t="shared" si="9"/>
        <v>5323617.9179999996</v>
      </c>
      <c r="U5" s="58">
        <f t="shared" si="9"/>
        <v>5984520.8539999994</v>
      </c>
      <c r="V5" s="58">
        <f t="shared" si="9"/>
        <v>6026762.2199999997</v>
      </c>
      <c r="W5" s="58">
        <f t="shared" si="9"/>
        <v>6543512.6140000001</v>
      </c>
      <c r="X5" s="58">
        <f t="shared" si="9"/>
        <v>6714714.6189999999</v>
      </c>
      <c r="Y5" s="58">
        <f t="shared" si="9"/>
        <v>7299620.4839999992</v>
      </c>
      <c r="Z5" s="58">
        <f t="shared" si="9"/>
        <v>7913092.1809999989</v>
      </c>
      <c r="AA5" s="58">
        <f t="shared" si="9"/>
        <v>6649314.5219999989</v>
      </c>
      <c r="AB5" s="58">
        <f t="shared" ref="AB5:AC5" si="10">SUM(AB7:AB22)</f>
        <v>8486761.818</v>
      </c>
      <c r="AC5" s="58">
        <f t="shared" si="10"/>
        <v>9453882</v>
      </c>
      <c r="AD5" s="58">
        <f t="shared" ref="AD5:AE5" si="11">SUM(AD7:AD22)</f>
        <v>9401873.9090000018</v>
      </c>
      <c r="AE5" s="58">
        <f t="shared" si="11"/>
        <v>8600459.8550000004</v>
      </c>
      <c r="AF5" s="58">
        <f t="shared" ref="AF5" si="12">SUM(AF7:AF22)</f>
        <v>9414255.0020000003</v>
      </c>
      <c r="AG5" s="58">
        <f t="shared" ref="AG5:AI5" si="13">SUM(AG7:AG22)</f>
        <v>9579498.3710000012</v>
      </c>
      <c r="AH5" s="58">
        <f t="shared" si="13"/>
        <v>11511859.867999999</v>
      </c>
      <c r="AI5" s="58">
        <f t="shared" si="13"/>
        <v>11671340.403999999</v>
      </c>
      <c r="AJ5" s="58">
        <f t="shared" ref="AJ5:AK5" si="14">SUM(AJ7:AJ22)</f>
        <v>0</v>
      </c>
      <c r="AK5" s="58">
        <f t="shared" si="14"/>
        <v>13518864.543999998</v>
      </c>
    </row>
    <row r="6" spans="1:39" ht="12.75" customHeight="1">
      <c r="A6" s="6" t="s">
        <v>94</v>
      </c>
      <c r="J6" s="157"/>
      <c r="R6" s="20"/>
      <c r="T6" s="51"/>
      <c r="AA6" s="10">
        <v>0</v>
      </c>
    </row>
    <row r="7" spans="1:39" ht="12.75" customHeight="1">
      <c r="A7" s="1" t="s">
        <v>21</v>
      </c>
      <c r="B7" s="1">
        <f>(2533+196+6431+360)+(10996+18635)</f>
        <v>39151</v>
      </c>
      <c r="C7" s="1">
        <f>(2890+161+10730+783)+(12233+23407)</f>
        <v>50204</v>
      </c>
      <c r="D7" s="1">
        <f>(5014+249+10053+771)+(14635+26777)</f>
        <v>57499</v>
      </c>
      <c r="I7" s="1">
        <f>(26922.909+2841.575)+78730.072</f>
        <v>108494.556</v>
      </c>
      <c r="J7" s="157">
        <v>120275.083</v>
      </c>
      <c r="K7" s="1">
        <f>(26006.005+5047.527)+105232.473</f>
        <v>136286.005</v>
      </c>
      <c r="L7" s="1">
        <f>(28761.113+4950.562)+104064.717</f>
        <v>137776.39199999999</v>
      </c>
      <c r="M7" s="1">
        <v>147416.87</v>
      </c>
      <c r="N7" s="1">
        <f>(25908.61+6271.799)+92768.817</f>
        <v>124949.226</v>
      </c>
      <c r="O7" s="1">
        <v>133099.94099999999</v>
      </c>
      <c r="R7" s="27">
        <v>152910.432</v>
      </c>
      <c r="S7" s="1">
        <v>187340.77499999999</v>
      </c>
      <c r="T7" s="51">
        <v>211828.23699999999</v>
      </c>
      <c r="U7" s="1">
        <v>201151.81</v>
      </c>
      <c r="V7" s="1">
        <v>228686.465</v>
      </c>
      <c r="W7" s="157">
        <v>280177.185</v>
      </c>
      <c r="X7" s="157">
        <v>325183.93800000002</v>
      </c>
      <c r="Y7" s="157">
        <v>374145.13400000002</v>
      </c>
      <c r="Z7" s="157">
        <v>398835.538</v>
      </c>
      <c r="AA7" s="157">
        <v>371732.17800000001</v>
      </c>
      <c r="AB7" s="157">
        <v>353792.24200000003</v>
      </c>
      <c r="AC7" s="157">
        <v>379742</v>
      </c>
      <c r="AD7" s="1">
        <v>343915.28</v>
      </c>
      <c r="AE7" s="1">
        <v>349174.88099999999</v>
      </c>
      <c r="AF7" s="1">
        <v>383519.36700000003</v>
      </c>
      <c r="AG7" s="1">
        <v>420354.266</v>
      </c>
      <c r="AH7" s="1">
        <v>369972.114</v>
      </c>
      <c r="AI7" s="1">
        <v>375190.26400000002</v>
      </c>
      <c r="AK7" s="1">
        <v>373432.11099999998</v>
      </c>
    </row>
    <row r="8" spans="1:39" ht="12.75" customHeight="1">
      <c r="A8" s="1" t="s">
        <v>22</v>
      </c>
      <c r="B8" s="1">
        <f>(4334+2223+34)+(6037+25823)</f>
        <v>38451</v>
      </c>
      <c r="C8" s="1">
        <f>(3687+216+3666+7)+(6025+28304)</f>
        <v>41905</v>
      </c>
      <c r="D8" s="1">
        <f>(4415+0+4438+0)+(6129+34433)</f>
        <v>49415</v>
      </c>
      <c r="I8" s="1">
        <f>(13285.03+18.538)+23661.194</f>
        <v>36964.762000000002</v>
      </c>
      <c r="J8" s="157">
        <v>42290.445</v>
      </c>
      <c r="K8" s="1">
        <v>55476.266000000003</v>
      </c>
      <c r="L8" s="1">
        <v>51366.392</v>
      </c>
      <c r="M8" s="1">
        <v>55999.819000000003</v>
      </c>
      <c r="N8" s="1">
        <f>(31378.105+0)+29312.323</f>
        <v>60690.428</v>
      </c>
      <c r="O8" s="1">
        <v>69055.444000000003</v>
      </c>
      <c r="R8" s="27">
        <v>111686.61900000001</v>
      </c>
      <c r="S8" s="1">
        <v>115794.24900000001</v>
      </c>
      <c r="T8" s="51">
        <v>146225.67000000001</v>
      </c>
      <c r="U8" s="1">
        <v>474015.69199999998</v>
      </c>
      <c r="V8" s="1">
        <v>168214.03200000001</v>
      </c>
      <c r="W8" s="157">
        <v>170480.095</v>
      </c>
      <c r="X8" s="157">
        <v>196625.13399999999</v>
      </c>
      <c r="Y8" s="157">
        <v>197730.77900000001</v>
      </c>
      <c r="Z8" s="157">
        <v>234450.71299999999</v>
      </c>
      <c r="AA8" s="157">
        <v>151346.902</v>
      </c>
      <c r="AB8" s="157">
        <v>259352.75399999999</v>
      </c>
      <c r="AC8" s="157">
        <v>330101</v>
      </c>
      <c r="AD8" s="1">
        <v>357225.56300000002</v>
      </c>
      <c r="AE8" s="1">
        <v>386995.32500000001</v>
      </c>
      <c r="AF8" s="1">
        <v>376150.37099999998</v>
      </c>
      <c r="AG8" s="1">
        <v>386264.73700000002</v>
      </c>
      <c r="AH8" s="1">
        <v>394308.28100000002</v>
      </c>
      <c r="AI8" s="1">
        <v>364700.109</v>
      </c>
      <c r="AK8" s="1">
        <v>351996.71299999999</v>
      </c>
    </row>
    <row r="9" spans="1:39" ht="12.75" customHeight="1">
      <c r="A9" s="1" t="s">
        <v>23</v>
      </c>
      <c r="D9" s="1">
        <f>(0+2723)+(10049+154)</f>
        <v>12926</v>
      </c>
      <c r="I9" s="1">
        <v>22096.033000000003</v>
      </c>
      <c r="J9" s="157">
        <v>23028.817000000003</v>
      </c>
      <c r="M9" s="1">
        <v>25012.69</v>
      </c>
      <c r="N9" s="1">
        <f>(26489.587+0)+17896.956</f>
        <v>44386.542999999998</v>
      </c>
      <c r="O9" s="1">
        <v>47205.550999999999</v>
      </c>
      <c r="R9" s="27">
        <v>43394.622000000003</v>
      </c>
      <c r="S9" s="38">
        <v>68683.741999999998</v>
      </c>
      <c r="T9" s="52">
        <v>64188.095999999998</v>
      </c>
      <c r="U9" s="38">
        <v>57082.224999999999</v>
      </c>
      <c r="V9" s="38">
        <v>76127.159</v>
      </c>
      <c r="W9" s="157">
        <f>14239.374+(2640.894+59641.547)</f>
        <v>76521.815000000002</v>
      </c>
      <c r="X9" s="157">
        <v>86182.573000000004</v>
      </c>
      <c r="Y9" s="157">
        <v>71445.164000000004</v>
      </c>
      <c r="Z9" s="157">
        <v>70019.168000000005</v>
      </c>
      <c r="AA9" s="157">
        <v>71687.611999999994</v>
      </c>
      <c r="AB9" s="157">
        <v>95653.676000000007</v>
      </c>
      <c r="AC9" s="157">
        <v>104670</v>
      </c>
      <c r="AD9" s="1">
        <v>106053.81600000001</v>
      </c>
      <c r="AE9" s="1">
        <v>91296.222999999998</v>
      </c>
      <c r="AF9" s="1">
        <v>102292.163</v>
      </c>
      <c r="AG9" s="1">
        <v>92122.835999999996</v>
      </c>
      <c r="AH9" s="1">
        <v>101753.06299999999</v>
      </c>
      <c r="AI9" s="1">
        <v>22.757000000000001</v>
      </c>
      <c r="AK9" s="1">
        <v>130515.45</v>
      </c>
    </row>
    <row r="10" spans="1:39" ht="12.75" customHeight="1">
      <c r="A10" s="1" t="s">
        <v>24</v>
      </c>
      <c r="B10" s="1">
        <f>(16481+723+15311+559)+(44955+12192)</f>
        <v>90221</v>
      </c>
      <c r="C10" s="1">
        <f>(21244+141+13981+958)+(51185+13600)</f>
        <v>101109</v>
      </c>
      <c r="D10" s="1">
        <f>(24434+89+17442+501)+(57767+17156)</f>
        <v>117389</v>
      </c>
      <c r="I10" s="1">
        <f>(100008.12+1921.325)+167738.528</f>
        <v>269667.973</v>
      </c>
      <c r="J10" s="157">
        <v>290336.72899999999</v>
      </c>
      <c r="K10" s="1">
        <f>(86693.446+5154.57)+172440.882</f>
        <v>264288.89800000004</v>
      </c>
      <c r="L10" s="1">
        <f>(105689.428+3931.859)+232769.939</f>
        <v>342391.22600000002</v>
      </c>
      <c r="M10" s="1">
        <v>275509.42099999997</v>
      </c>
      <c r="N10" s="1">
        <f>(116216.505+1344.599)+168101.599</f>
        <v>285662.70299999998</v>
      </c>
      <c r="O10" s="1">
        <v>329142.79799999995</v>
      </c>
      <c r="R10" s="27">
        <v>373330.46100000001</v>
      </c>
      <c r="S10" s="1">
        <v>439121.68700000003</v>
      </c>
      <c r="T10" s="51">
        <v>551877.91</v>
      </c>
      <c r="U10" s="1">
        <v>642119.12</v>
      </c>
      <c r="V10" s="1">
        <v>681499.90599999996</v>
      </c>
      <c r="W10" s="157">
        <v>880887.31900000002</v>
      </c>
      <c r="X10" s="157">
        <v>868863.10900000005</v>
      </c>
      <c r="Y10" s="157">
        <v>933026.05099999998</v>
      </c>
      <c r="Z10" s="157">
        <v>917464.11399999994</v>
      </c>
      <c r="AA10" s="157">
        <v>1127153.4469999999</v>
      </c>
      <c r="AB10" s="157">
        <v>1166090.5049999999</v>
      </c>
      <c r="AC10" s="157">
        <v>1306482</v>
      </c>
      <c r="AD10" s="1">
        <v>1266092.425</v>
      </c>
      <c r="AE10" s="1">
        <v>1326848.4739999999</v>
      </c>
      <c r="AF10" s="1">
        <v>1410414.388</v>
      </c>
      <c r="AG10" s="1">
        <v>1641937.3959999999</v>
      </c>
      <c r="AH10" s="1">
        <v>1571060.8940000001</v>
      </c>
      <c r="AI10" s="1">
        <v>1630901.824</v>
      </c>
      <c r="AK10" s="1">
        <v>2214430.7650000001</v>
      </c>
    </row>
    <row r="11" spans="1:39" ht="12.75" customHeight="1">
      <c r="A11" s="1" t="s">
        <v>25</v>
      </c>
      <c r="B11" s="1">
        <f>(4386+594+10194+876)+(13627+36649)</f>
        <v>66326</v>
      </c>
      <c r="C11" s="1">
        <f>(4725+632+10667+837)+(14928+40172)</f>
        <v>71961</v>
      </c>
      <c r="D11" s="1">
        <f>(5752+547+12277+770)+(18391+46468)</f>
        <v>84205</v>
      </c>
      <c r="I11" s="1">
        <f>(27898.729+2465.459)+91047.146</f>
        <v>121411.33399999999</v>
      </c>
      <c r="J11" s="157">
        <v>129632.202</v>
      </c>
      <c r="K11" s="1">
        <f>(28561.347+3930.985)+122100.248</f>
        <v>154592.58000000002</v>
      </c>
      <c r="L11" s="1">
        <f>(41863.886+4122.979)+123884.077</f>
        <v>169870.94200000001</v>
      </c>
      <c r="M11" s="1">
        <v>229433.076</v>
      </c>
      <c r="N11" s="1">
        <f>(115122.752+4040.612)+140394.731</f>
        <v>259558.09499999997</v>
      </c>
      <c r="O11" s="1">
        <v>301573.21899999998</v>
      </c>
      <c r="R11" s="27">
        <v>503130.29399999999</v>
      </c>
      <c r="S11" s="1">
        <v>639656.19500000007</v>
      </c>
      <c r="T11" s="51">
        <v>504619.723</v>
      </c>
      <c r="U11" s="1">
        <v>517545.48700000002</v>
      </c>
      <c r="V11" s="1">
        <v>549332.52800000005</v>
      </c>
      <c r="W11" s="157">
        <v>399360.24300000002</v>
      </c>
      <c r="X11" s="157">
        <v>447436.19</v>
      </c>
      <c r="Y11" s="157">
        <v>507359.72600000002</v>
      </c>
      <c r="Z11" s="157">
        <v>527597.61</v>
      </c>
      <c r="AA11" s="157">
        <v>444895.00799999997</v>
      </c>
      <c r="AB11" s="157">
        <v>561840.93500000006</v>
      </c>
      <c r="AC11" s="157">
        <v>561016</v>
      </c>
      <c r="AD11" s="1">
        <v>587714.82999999996</v>
      </c>
      <c r="AE11" s="1">
        <v>726670.05599999998</v>
      </c>
      <c r="AF11" s="1">
        <v>664287.92599999998</v>
      </c>
      <c r="AG11" s="1">
        <v>698944.51399999997</v>
      </c>
      <c r="AH11" s="1">
        <v>701501.81099999999</v>
      </c>
      <c r="AI11" s="1">
        <v>775754.23699999996</v>
      </c>
      <c r="AK11" s="1">
        <v>872875.35199999996</v>
      </c>
    </row>
    <row r="12" spans="1:39" ht="12.75" customHeight="1">
      <c r="A12" s="1" t="s">
        <v>26</v>
      </c>
      <c r="B12" s="1">
        <f>(17860+3094+610)+(39786+1095)</f>
        <v>62445</v>
      </c>
      <c r="C12" s="1">
        <f>(17512+0+4272+630)+(47598+1261)</f>
        <v>71273</v>
      </c>
      <c r="D12" s="1">
        <f>(20709+184+5684+769)+(23228+1354)</f>
        <v>51928</v>
      </c>
      <c r="I12" s="1">
        <f>(30120.364+2092.082)+32445.642</f>
        <v>64658.088000000003</v>
      </c>
      <c r="J12" s="157">
        <v>65177.283000000003</v>
      </c>
      <c r="K12" s="1">
        <f>(30097.685+2131.568)+31610.618</f>
        <v>63839.870999999999</v>
      </c>
      <c r="L12" s="1">
        <f>(31701.791+1872.287)+26573.865</f>
        <v>60147.942999999999</v>
      </c>
      <c r="M12" s="1">
        <v>84373.736000000004</v>
      </c>
      <c r="N12" s="1">
        <f>(44623.056+1530)+63386.56</f>
        <v>109539.61599999999</v>
      </c>
      <c r="O12" s="1">
        <v>150741.655</v>
      </c>
      <c r="R12" s="20">
        <v>209998.27399999998</v>
      </c>
      <c r="S12" s="1">
        <v>293368.04700000002</v>
      </c>
      <c r="T12" s="51">
        <v>280025.647</v>
      </c>
      <c r="U12" s="1">
        <v>299749.39500000002</v>
      </c>
      <c r="V12" s="1">
        <v>262644.81099999999</v>
      </c>
      <c r="W12" s="157">
        <v>283878.78000000003</v>
      </c>
      <c r="X12" s="157">
        <v>313078.28100000002</v>
      </c>
      <c r="Y12" s="157">
        <v>331818.054</v>
      </c>
      <c r="Z12" s="157">
        <v>371999.85399999999</v>
      </c>
      <c r="AA12" s="157">
        <v>350350.54100000003</v>
      </c>
      <c r="AB12" s="157">
        <v>335217.78600000002</v>
      </c>
      <c r="AC12" s="157">
        <v>396277</v>
      </c>
      <c r="AD12" s="1">
        <v>370067.54300000001</v>
      </c>
      <c r="AE12" s="1">
        <v>357919.78600000002</v>
      </c>
      <c r="AF12" s="1">
        <v>344229.533</v>
      </c>
      <c r="AG12" s="1">
        <v>410220.34499999997</v>
      </c>
      <c r="AH12" s="1">
        <v>444636.32500000001</v>
      </c>
      <c r="AI12" s="1">
        <v>415053.30099999998</v>
      </c>
      <c r="AK12" s="1">
        <v>408715.87</v>
      </c>
    </row>
    <row r="13" spans="1:39" ht="12.75" customHeight="1">
      <c r="A13" s="1" t="s">
        <v>27</v>
      </c>
      <c r="B13" s="1">
        <f>(3548+18348+410)+(6630+11989)</f>
        <v>40925</v>
      </c>
      <c r="C13" s="1">
        <f>(3779+0+19154+372)+(8054+11897)</f>
        <v>43256</v>
      </c>
      <c r="D13" s="1">
        <f>(4208+0+20793+442)+(8994+12617)</f>
        <v>47054</v>
      </c>
      <c r="I13" s="1">
        <f>(52701.597+1923.222)+37359.365</f>
        <v>91984.184000000008</v>
      </c>
      <c r="J13" s="157">
        <v>104938.04</v>
      </c>
      <c r="K13" s="1">
        <f>(70915.476+1785.38)+45387.458</f>
        <v>118088.314</v>
      </c>
      <c r="L13" s="1">
        <f>(80575.185+2373.236)+47074.178</f>
        <v>130022.599</v>
      </c>
      <c r="M13" s="1">
        <v>163717.42000000001</v>
      </c>
      <c r="N13" s="1">
        <f>(115789.915+3467.948)+54024.39</f>
        <v>173282.253</v>
      </c>
      <c r="O13" s="1">
        <v>186289.88099999999</v>
      </c>
      <c r="R13" s="20">
        <v>303614.49400000001</v>
      </c>
      <c r="S13" s="1">
        <v>288914.71799999999</v>
      </c>
      <c r="T13" s="51">
        <v>250905.003</v>
      </c>
      <c r="U13" s="1">
        <v>236566.829</v>
      </c>
      <c r="V13" s="1">
        <v>362229.37400000001</v>
      </c>
      <c r="W13" s="157">
        <v>377485.29700000002</v>
      </c>
      <c r="X13" s="157">
        <v>366860.01400000002</v>
      </c>
      <c r="Y13" s="157">
        <v>392744.34700000001</v>
      </c>
      <c r="Z13" s="157">
        <v>449147.38</v>
      </c>
      <c r="AA13" s="157">
        <v>223712.978</v>
      </c>
      <c r="AB13" s="157">
        <v>469331.17300000001</v>
      </c>
      <c r="AC13" s="157">
        <v>468927</v>
      </c>
      <c r="AD13" s="1">
        <v>478860.10700000002</v>
      </c>
      <c r="AE13" s="1">
        <v>497238.19</v>
      </c>
      <c r="AF13" s="1">
        <v>548760.32799999998</v>
      </c>
      <c r="AG13" s="1">
        <v>654618.10699999996</v>
      </c>
      <c r="AH13" s="1">
        <v>629462.995</v>
      </c>
      <c r="AI13" s="1">
        <v>751701.55099999998</v>
      </c>
      <c r="AK13" s="1">
        <v>962606.09199999995</v>
      </c>
    </row>
    <row r="14" spans="1:39" ht="12.75" customHeight="1">
      <c r="A14" s="1" t="s">
        <v>28</v>
      </c>
      <c r="B14" s="1">
        <f>(10502+1679)+18311</f>
        <v>30492</v>
      </c>
      <c r="C14" s="1">
        <f>(23163+1623)+(0+19136)</f>
        <v>43922</v>
      </c>
      <c r="D14" s="1">
        <f>(0+34784+1722)+(0+21690)</f>
        <v>58196</v>
      </c>
      <c r="I14" s="1">
        <f>(58635.429+0)+40936.366</f>
        <v>99571.794999999998</v>
      </c>
      <c r="J14" s="157">
        <v>95203.513000000006</v>
      </c>
      <c r="K14" s="1">
        <v>120839.58499999999</v>
      </c>
      <c r="L14" s="1">
        <f>(59032.409+7.797)+74464.893</f>
        <v>133505.09899999999</v>
      </c>
      <c r="M14" s="1">
        <v>137246.39199999999</v>
      </c>
      <c r="N14" s="1">
        <f>(66891.123+1224.464)+81671.432</f>
        <v>149787.019</v>
      </c>
      <c r="O14" s="1">
        <v>172336.80810999998</v>
      </c>
      <c r="R14" s="20">
        <v>345219.95799999998</v>
      </c>
      <c r="S14" s="1">
        <v>285040.92799999996</v>
      </c>
      <c r="T14" s="51">
        <v>330944.97499999998</v>
      </c>
      <c r="U14" s="1">
        <v>393229.81</v>
      </c>
      <c r="V14" s="1">
        <v>369917.96500000003</v>
      </c>
      <c r="W14" s="157">
        <v>427702.29300000001</v>
      </c>
      <c r="X14" s="157">
        <v>350482.73</v>
      </c>
      <c r="Y14" s="157">
        <v>368105.19500000001</v>
      </c>
      <c r="Z14" s="157">
        <v>448937.47700000001</v>
      </c>
      <c r="AA14" s="157">
        <v>277823.52</v>
      </c>
      <c r="AB14" s="157">
        <v>408354.41800000001</v>
      </c>
      <c r="AC14" s="157">
        <v>398738</v>
      </c>
      <c r="AD14" s="1">
        <v>429761.87300000002</v>
      </c>
      <c r="AE14" s="1">
        <v>450224.75</v>
      </c>
      <c r="AF14" s="1">
        <v>429333.19500000001</v>
      </c>
      <c r="AG14" s="1">
        <v>460729.63199999998</v>
      </c>
      <c r="AH14" s="1">
        <v>475694.087</v>
      </c>
      <c r="AI14" s="1">
        <v>488234.09299999999</v>
      </c>
      <c r="AK14" s="1">
        <v>518677.08</v>
      </c>
    </row>
    <row r="15" spans="1:39" ht="12.75" customHeight="1">
      <c r="A15" s="1" t="s">
        <v>29</v>
      </c>
      <c r="B15" s="1">
        <f>(845+31+6431+5172)+(2497+10308)</f>
        <v>25284</v>
      </c>
      <c r="C15" s="1">
        <f>(1137+0+6434+5578)+(2388+11062)</f>
        <v>26599</v>
      </c>
      <c r="D15" s="1">
        <f>(0+1007+7213+3041)+(2450+14431)</f>
        <v>28142</v>
      </c>
      <c r="I15" s="1">
        <f>(13098.112+742.432)+30854.957</f>
        <v>44695.500999999997</v>
      </c>
      <c r="J15" s="157">
        <v>44059.441999999995</v>
      </c>
      <c r="K15" s="1">
        <f>(12257.986+1130.429)+33907.568</f>
        <v>47295.983</v>
      </c>
      <c r="L15" s="1">
        <f>(14144.024+1657.722)+32896.634</f>
        <v>48698.38</v>
      </c>
      <c r="M15" s="1">
        <v>59463.828000000001</v>
      </c>
      <c r="N15" s="1">
        <f>(21890.981+3205.306)+35404.148</f>
        <v>60500.434999999998</v>
      </c>
      <c r="O15" s="1">
        <v>66376.370999999999</v>
      </c>
      <c r="R15" s="20">
        <v>100843.38099999999</v>
      </c>
      <c r="S15" s="1">
        <v>109508.10500000001</v>
      </c>
      <c r="T15" s="51">
        <v>125999.16899999999</v>
      </c>
      <c r="U15" s="1">
        <v>129157.569</v>
      </c>
      <c r="V15" s="1">
        <v>145820.77900000001</v>
      </c>
      <c r="W15" s="157">
        <v>151689.19899999999</v>
      </c>
      <c r="X15" s="157">
        <v>171792.09899999999</v>
      </c>
      <c r="Y15" s="157">
        <v>184366.122</v>
      </c>
      <c r="Z15" s="157">
        <v>198029.516</v>
      </c>
      <c r="AA15" s="157">
        <v>154419.04999999999</v>
      </c>
      <c r="AB15" s="157">
        <v>175973.18400000001</v>
      </c>
      <c r="AC15" s="157">
        <v>190268</v>
      </c>
      <c r="AD15" s="1">
        <v>202310.55100000001</v>
      </c>
      <c r="AE15" s="1">
        <v>214073.33600000001</v>
      </c>
      <c r="AF15" s="1">
        <v>223369.17300000001</v>
      </c>
      <c r="AG15" s="1">
        <v>204546.91899999999</v>
      </c>
      <c r="AH15" s="1">
        <v>213813.31599999999</v>
      </c>
      <c r="AI15" s="1">
        <v>204718.84700000001</v>
      </c>
      <c r="AK15" s="1">
        <v>210632.05499999999</v>
      </c>
    </row>
    <row r="16" spans="1:39" ht="12.75" customHeight="1">
      <c r="A16" s="1" t="s">
        <v>30</v>
      </c>
      <c r="B16" s="1">
        <f>(3428+8936+1140)+(22755+20341)</f>
        <v>56600</v>
      </c>
      <c r="C16" s="1">
        <f>(4777+0+10501+1220)+(28469+24750)</f>
        <v>69717</v>
      </c>
      <c r="D16" s="1">
        <f>(5575+0+11604+1143)+(29554+30794)</f>
        <v>78670</v>
      </c>
      <c r="I16" s="1">
        <f>(30995.398+989.547)+121813.308</f>
        <v>153798.253</v>
      </c>
      <c r="J16" s="157">
        <v>166823.94899999999</v>
      </c>
      <c r="K16" s="1">
        <f>(39733.037+1848.039)+144958.888</f>
        <v>186539.96400000001</v>
      </c>
      <c r="L16" s="1">
        <f>(43482.83+1975.581)+146894.192</f>
        <v>192352.603</v>
      </c>
      <c r="M16" s="1">
        <v>197751.128</v>
      </c>
      <c r="N16" s="1">
        <f>(51764.606+3592.59)+167929.134</f>
        <v>223286.33</v>
      </c>
      <c r="O16" s="1">
        <v>237533.71799999999</v>
      </c>
      <c r="R16" s="20">
        <v>328286.522</v>
      </c>
      <c r="S16" s="1">
        <v>405837.745</v>
      </c>
      <c r="T16" s="1">
        <v>365335.86300000001</v>
      </c>
      <c r="U16" s="1">
        <v>356104.85700000002</v>
      </c>
      <c r="V16" s="1">
        <v>401864.20400000003</v>
      </c>
      <c r="W16" s="157">
        <v>440305.61400000006</v>
      </c>
      <c r="X16" s="157">
        <v>434935.24800000002</v>
      </c>
      <c r="Y16" s="157">
        <v>457945.33100000001</v>
      </c>
      <c r="Z16" s="157">
        <v>608047.07900000003</v>
      </c>
      <c r="AA16" s="157">
        <v>630254.57400000002</v>
      </c>
      <c r="AB16" s="157">
        <v>686807.79599999997</v>
      </c>
      <c r="AC16" s="157">
        <v>802583</v>
      </c>
      <c r="AD16" s="1">
        <v>745807.66599999997</v>
      </c>
      <c r="AE16" s="1">
        <v>736934.31400000001</v>
      </c>
      <c r="AF16" s="1">
        <v>735507.02</v>
      </c>
      <c r="AG16" s="1">
        <v>800208.17099999997</v>
      </c>
      <c r="AH16" s="1">
        <v>840699.28599999996</v>
      </c>
      <c r="AI16" s="1">
        <v>925092.30700000003</v>
      </c>
      <c r="AK16" s="1">
        <v>971720.08</v>
      </c>
    </row>
    <row r="17" spans="1:37" ht="12.75" customHeight="1">
      <c r="A17" s="1" t="s">
        <v>31</v>
      </c>
      <c r="B17" s="1">
        <f>(7898+6)+12296</f>
        <v>20200</v>
      </c>
      <c r="C17" s="1">
        <f>(7279+9)+(0+14729)</f>
        <v>22017</v>
      </c>
      <c r="D17" s="1">
        <f>(0+0+18022+412)+(0+15625)</f>
        <v>34059</v>
      </c>
      <c r="I17" s="1">
        <f>(44577.78+130.01)+28276.702</f>
        <v>72984.491999999998</v>
      </c>
      <c r="J17" s="157">
        <v>88713.635999999999</v>
      </c>
      <c r="K17" s="1">
        <f>(58801.451+348.875)+32763.295</f>
        <v>91913.620999999999</v>
      </c>
      <c r="L17" s="1">
        <f>(54985.414+268.987)+40876.545</f>
        <v>96130.945999999996</v>
      </c>
      <c r="M17" s="1">
        <v>105913.41399999999</v>
      </c>
      <c r="N17" s="1">
        <f>(65409.633+156.483)+45482.176</f>
        <v>111048.29199999999</v>
      </c>
      <c r="O17" s="1">
        <v>123731.10837</v>
      </c>
      <c r="R17" s="20">
        <v>168019.163</v>
      </c>
      <c r="S17" s="1">
        <v>187674.27799999999</v>
      </c>
      <c r="T17" s="1">
        <v>205273.50099999999</v>
      </c>
      <c r="U17" s="1">
        <v>247537.04</v>
      </c>
      <c r="V17" s="1">
        <v>256589.84599999999</v>
      </c>
      <c r="W17" s="157">
        <v>254789.973</v>
      </c>
      <c r="X17" s="157">
        <v>292364.092</v>
      </c>
      <c r="Y17" s="157">
        <v>334150.31699999998</v>
      </c>
      <c r="Z17" s="157">
        <v>342600.23100000003</v>
      </c>
      <c r="AA17" s="157">
        <v>229307.9</v>
      </c>
      <c r="AB17" s="157">
        <v>393991.891</v>
      </c>
      <c r="AC17" s="157">
        <v>438159</v>
      </c>
      <c r="AD17" s="1">
        <v>432219.22700000001</v>
      </c>
      <c r="AE17" s="1">
        <v>433158.435</v>
      </c>
      <c r="AF17" s="1">
        <v>472634.43099999998</v>
      </c>
      <c r="AG17" s="1">
        <v>492193.234</v>
      </c>
      <c r="AH17" s="1">
        <v>519514.897</v>
      </c>
      <c r="AI17" s="1">
        <v>511603.47</v>
      </c>
      <c r="AK17" s="1">
        <v>589152.88500000001</v>
      </c>
    </row>
    <row r="18" spans="1:37" ht="12.75" customHeight="1">
      <c r="A18" s="1" t="s">
        <v>32</v>
      </c>
      <c r="B18" s="1">
        <f>(714+31+1258+39)+(8920+6374)</f>
        <v>17336</v>
      </c>
      <c r="C18" s="1">
        <f>(3085+128+1287+145)+(11956+5881)</f>
        <v>22482</v>
      </c>
      <c r="D18" s="1">
        <f>(3755+114+2136+346)+(13538+7729)</f>
        <v>27618</v>
      </c>
      <c r="I18" s="1">
        <f>(10830.46+920.602)+49158.546</f>
        <v>60909.608</v>
      </c>
      <c r="J18" s="157">
        <v>80636.438999999998</v>
      </c>
      <c r="K18" s="1">
        <f>(9514.225+1195.23)+71072.786</f>
        <v>81782.240999999995</v>
      </c>
      <c r="L18" s="1">
        <f>(13955.734+1863.975)+79856.328</f>
        <v>95676.036999999997</v>
      </c>
      <c r="M18" s="1">
        <v>89738.713000000003</v>
      </c>
      <c r="N18" s="1">
        <f>(13851.584+1925.538)+68794.387</f>
        <v>84571.509000000005</v>
      </c>
      <c r="O18" s="1">
        <v>98530.750999999989</v>
      </c>
      <c r="R18" s="20">
        <v>125321.985</v>
      </c>
      <c r="S18" s="1">
        <v>182544.72500000001</v>
      </c>
      <c r="T18" s="1">
        <v>210796.29399999999</v>
      </c>
      <c r="U18" s="1">
        <v>243967.478</v>
      </c>
      <c r="V18" s="1">
        <v>273119.20799999998</v>
      </c>
      <c r="W18" s="157">
        <v>289824.35600000003</v>
      </c>
      <c r="X18" s="157">
        <v>305903.31300000002</v>
      </c>
      <c r="Y18" s="157">
        <v>328365.96399999998</v>
      </c>
      <c r="Z18" s="157">
        <v>331693.41100000002</v>
      </c>
      <c r="AA18" s="157">
        <v>334477.66399999999</v>
      </c>
      <c r="AB18" s="157">
        <v>413883.85600000003</v>
      </c>
      <c r="AC18" s="157">
        <v>424631</v>
      </c>
      <c r="AD18" s="1">
        <v>445099.26799999998</v>
      </c>
      <c r="AE18" s="1">
        <v>475941.53499999997</v>
      </c>
      <c r="AF18" s="1">
        <v>499657.54</v>
      </c>
      <c r="AG18" s="1">
        <v>492153.59899999999</v>
      </c>
      <c r="AH18" s="1">
        <v>512414.67599999998</v>
      </c>
      <c r="AI18" s="1">
        <v>597070.70499999996</v>
      </c>
      <c r="AK18" s="1">
        <v>655764.90099999995</v>
      </c>
    </row>
    <row r="19" spans="1:37" ht="12.75" customHeight="1">
      <c r="A19" s="1" t="s">
        <v>33</v>
      </c>
      <c r="B19" s="1">
        <f>(2421+401+5367+3022)+(5318+24840)</f>
        <v>41369</v>
      </c>
      <c r="C19" s="1">
        <f>(3180+275+7135+3075)+(7451+28659)</f>
        <v>49775</v>
      </c>
      <c r="D19" s="1">
        <f>(5258+935+8864+4296)+(9459+30724)</f>
        <v>59536</v>
      </c>
      <c r="I19" s="1">
        <f>(24393.376+7864.237)+62787.292</f>
        <v>95044.904999999999</v>
      </c>
      <c r="J19" s="157">
        <v>97216.26</v>
      </c>
      <c r="K19" s="1">
        <f>(28075.049+9822.36)+76085.275</f>
        <v>113982.68399999999</v>
      </c>
      <c r="L19" s="1">
        <f>(34327.01+11435.913)+83079.722</f>
        <v>128842.64499999999</v>
      </c>
      <c r="M19" s="1">
        <v>131355.948</v>
      </c>
      <c r="N19" s="1">
        <f>(39487.81+12365.583)+95679.335</f>
        <v>147532.728</v>
      </c>
      <c r="O19" s="1">
        <v>163441.42053999999</v>
      </c>
      <c r="R19" s="27">
        <v>192791.51</v>
      </c>
      <c r="S19" s="1">
        <v>240877.33100000001</v>
      </c>
      <c r="T19" s="1">
        <v>228400.45300000001</v>
      </c>
      <c r="U19" s="1">
        <v>268606.11499999999</v>
      </c>
      <c r="V19" s="1">
        <v>347483.30300000001</v>
      </c>
      <c r="W19" s="157">
        <v>456944.31699999998</v>
      </c>
      <c r="X19" s="157">
        <v>402589.56099999999</v>
      </c>
      <c r="Y19" s="157">
        <v>485346.96899999998</v>
      </c>
      <c r="Z19" s="157">
        <v>472422.62099999998</v>
      </c>
      <c r="AA19" s="157">
        <v>486507.40399999998</v>
      </c>
      <c r="AB19" s="158">
        <v>436160.88099999999</v>
      </c>
      <c r="AC19" s="157">
        <v>581855</v>
      </c>
      <c r="AD19" s="1">
        <v>529676.13300000003</v>
      </c>
      <c r="AE19" s="1">
        <v>511993.93400000001</v>
      </c>
      <c r="AF19" s="1">
        <v>514143.364</v>
      </c>
      <c r="AG19" s="1">
        <v>531115.70200000005</v>
      </c>
      <c r="AH19" s="1">
        <v>579229.31900000002</v>
      </c>
      <c r="AI19" s="1">
        <v>586620.80200000003</v>
      </c>
      <c r="AK19" s="1">
        <v>671696.43299999996</v>
      </c>
    </row>
    <row r="20" spans="1:37" ht="12.75" customHeight="1">
      <c r="A20" s="1" t="s">
        <v>34</v>
      </c>
      <c r="B20" s="1">
        <f>(9327+315+28045+9355)+(51418+75363)</f>
        <v>173823</v>
      </c>
      <c r="C20" s="1">
        <f>(10989+774+25393+8667)+(71576+81644)</f>
        <v>199043</v>
      </c>
      <c r="D20" s="1">
        <f>(14269+734+39051+9605)+(82970+93479)</f>
        <v>240108</v>
      </c>
      <c r="I20" s="1">
        <f>(82156.718+19159.012)+270054.399</f>
        <v>371370.12899999996</v>
      </c>
      <c r="J20" s="157">
        <v>398147.98599999998</v>
      </c>
      <c r="K20" s="1">
        <f>(134720.432+37176.362)+319096.244</f>
        <v>490993.038</v>
      </c>
      <c r="L20" s="1">
        <f>(153932.665+56799.332)+331835.686</f>
        <v>542567.68299999996</v>
      </c>
      <c r="M20" s="1">
        <v>644779.35</v>
      </c>
      <c r="N20" s="1">
        <f>(424039.378+144985.091)+362306.313</f>
        <v>931330.78200000012</v>
      </c>
      <c r="O20" s="1">
        <v>980974.95600000001</v>
      </c>
      <c r="R20" s="20">
        <v>1060903.406</v>
      </c>
      <c r="S20" s="1">
        <v>1298274.6270000001</v>
      </c>
      <c r="T20" s="1">
        <v>1440189.3559999999</v>
      </c>
      <c r="U20" s="1">
        <v>1485641.1510000001</v>
      </c>
      <c r="V20" s="1">
        <v>1453709.281</v>
      </c>
      <c r="W20" s="157">
        <v>1563106.254</v>
      </c>
      <c r="X20" s="157">
        <v>1620404.1470000001</v>
      </c>
      <c r="Y20" s="157">
        <v>1682737.7439999999</v>
      </c>
      <c r="Z20" s="157">
        <v>1889548.49</v>
      </c>
      <c r="AA20" s="157">
        <v>1144714.3330000001</v>
      </c>
      <c r="AB20" s="157">
        <v>2075958.7080000001</v>
      </c>
      <c r="AC20" s="157">
        <v>2420576</v>
      </c>
      <c r="AD20" s="1">
        <v>2433950.713</v>
      </c>
      <c r="AE20" s="1">
        <v>1339633.5959999999</v>
      </c>
      <c r="AF20" s="1">
        <v>1985514.0989999999</v>
      </c>
      <c r="AG20" s="1">
        <v>1522668.7990000001</v>
      </c>
      <c r="AH20" s="1">
        <v>3330404.8990000002</v>
      </c>
      <c r="AI20" s="1">
        <v>3182198.409</v>
      </c>
      <c r="AK20" s="1">
        <v>3604354.6549999998</v>
      </c>
    </row>
    <row r="21" spans="1:37" ht="12.75" customHeight="1">
      <c r="A21" s="1" t="s">
        <v>35</v>
      </c>
      <c r="B21" s="1">
        <f>(1545+65+6189+5754)+(23119+15903)</f>
        <v>52575</v>
      </c>
      <c r="C21" s="1">
        <f>(2945+285+8007+7595)+(24108+18426)</f>
        <v>61366</v>
      </c>
      <c r="D21" s="1">
        <f>(5010+210+11107+8856)+(27161+21327)</f>
        <v>73671</v>
      </c>
      <c r="I21" s="1">
        <f>(34295.611+15086.725)+131991.385</f>
        <v>181373.72100000002</v>
      </c>
      <c r="J21" s="157">
        <v>195830.60399999999</v>
      </c>
      <c r="K21" s="1">
        <f>(47289.674+11817.062)+143460.087</f>
        <v>202566.823</v>
      </c>
      <c r="L21" s="1">
        <f>(53218.572+13164.865)+151608.538</f>
        <v>217991.97500000001</v>
      </c>
      <c r="M21" s="1">
        <v>255346.484</v>
      </c>
      <c r="N21" s="1">
        <f>(76039.939+10655.602)+186666.727</f>
        <v>273362.26800000004</v>
      </c>
      <c r="O21" s="1">
        <v>294613.505</v>
      </c>
      <c r="R21" s="20">
        <v>337443.48499999999</v>
      </c>
      <c r="S21" s="1">
        <v>373846.755</v>
      </c>
      <c r="T21" s="1">
        <v>321463.14799999999</v>
      </c>
      <c r="U21" s="1">
        <v>341761.538</v>
      </c>
      <c r="V21" s="1">
        <v>341125.11200000002</v>
      </c>
      <c r="W21" s="157">
        <v>370334.23800000001</v>
      </c>
      <c r="X21" s="157">
        <v>386324.15700000001</v>
      </c>
      <c r="Y21" s="157">
        <v>497686.636</v>
      </c>
      <c r="Z21" s="157">
        <v>485921.56</v>
      </c>
      <c r="AA21" s="157">
        <v>469336.413</v>
      </c>
      <c r="AB21" s="157">
        <v>477573.96</v>
      </c>
      <c r="AC21" s="157">
        <v>472476</v>
      </c>
      <c r="AD21" s="1">
        <v>483203.69799999997</v>
      </c>
      <c r="AE21" s="1">
        <v>507825.11200000002</v>
      </c>
      <c r="AF21" s="1">
        <v>519906.23800000001</v>
      </c>
      <c r="AG21" s="1">
        <v>559079.875</v>
      </c>
      <c r="AH21" s="1">
        <v>596014.48400000005</v>
      </c>
      <c r="AI21" s="1">
        <v>616735.82900000003</v>
      </c>
      <c r="AK21" s="1">
        <v>710813.16700000002</v>
      </c>
    </row>
    <row r="22" spans="1:37" ht="12.75" customHeight="1">
      <c r="A22" s="30" t="s">
        <v>36</v>
      </c>
      <c r="B22" s="30">
        <f>(9260+718+2793+260)+(4574+2729)</f>
        <v>20334</v>
      </c>
      <c r="C22" s="30">
        <f>(3541+746+3253+509)+(3362+1823)</f>
        <v>13234</v>
      </c>
      <c r="D22" s="30">
        <f>(3752+798+3788+432)+(3656+1778)</f>
        <v>14204</v>
      </c>
      <c r="E22" s="30"/>
      <c r="F22" s="30"/>
      <c r="G22" s="30"/>
      <c r="H22" s="30"/>
      <c r="I22" s="30">
        <f>(14234.282+611.255)+21132.843</f>
        <v>35978.379999999997</v>
      </c>
      <c r="J22" s="158">
        <v>34823.506999999998</v>
      </c>
      <c r="K22" s="30">
        <f>(16708.006+679.244)+19229.914</f>
        <v>36617.164000000004</v>
      </c>
      <c r="L22" s="30">
        <f>(21191.993+849.665)+20525.048</f>
        <v>42566.705999999998</v>
      </c>
      <c r="M22" s="30">
        <v>46115.683000000005</v>
      </c>
      <c r="N22" s="30">
        <f>(22604.742+749.687)+28334.513</f>
        <v>51688.941999999995</v>
      </c>
      <c r="O22" s="30">
        <v>52258.230219999998</v>
      </c>
      <c r="P22" s="30"/>
      <c r="Q22" s="30"/>
      <c r="R22" s="30">
        <v>68626.902000000002</v>
      </c>
      <c r="S22" s="30">
        <v>74342.016999999993</v>
      </c>
      <c r="T22" s="30">
        <v>85544.873000000007</v>
      </c>
      <c r="U22" s="30">
        <v>90284.737999999998</v>
      </c>
      <c r="V22" s="30">
        <v>108398.247</v>
      </c>
      <c r="W22" s="158">
        <v>120025.636</v>
      </c>
      <c r="X22" s="158">
        <v>145690.033</v>
      </c>
      <c r="Y22" s="158">
        <v>152646.951</v>
      </c>
      <c r="Z22" s="158">
        <v>166377.41899999999</v>
      </c>
      <c r="AA22" s="158">
        <v>181594.99799999999</v>
      </c>
      <c r="AB22" s="158">
        <v>176778.05300000001</v>
      </c>
      <c r="AC22" s="158">
        <v>177381</v>
      </c>
      <c r="AD22" s="30">
        <v>189915.21599999999</v>
      </c>
      <c r="AE22" s="30">
        <v>194531.908</v>
      </c>
      <c r="AF22" s="30">
        <v>204535.86600000001</v>
      </c>
      <c r="AG22" s="30">
        <v>212340.239</v>
      </c>
      <c r="AH22" s="30">
        <v>231379.421</v>
      </c>
      <c r="AI22" s="30">
        <v>245741.899</v>
      </c>
      <c r="AJ22" s="30"/>
      <c r="AK22" s="30">
        <v>271480.935</v>
      </c>
    </row>
    <row r="23" spans="1:37" ht="12.75" customHeight="1">
      <c r="A23" s="6" t="s">
        <v>37</v>
      </c>
      <c r="J23" s="58">
        <f>SUM(J25:J37)</f>
        <v>1338923.6929999997</v>
      </c>
      <c r="M23" s="58">
        <f>SUM(M25:M37)</f>
        <v>1677829.814</v>
      </c>
      <c r="O23" s="58">
        <f>SUM(O25:O37)</f>
        <v>1883061.03804</v>
      </c>
      <c r="R23" s="58">
        <f t="shared" ref="R23:AK23" si="15">SUM(R25:R37)</f>
        <v>2776026.7480000001</v>
      </c>
      <c r="S23" s="58">
        <f t="shared" si="15"/>
        <v>3159879.389</v>
      </c>
      <c r="T23" s="58">
        <f t="shared" si="15"/>
        <v>3059614.4639999997</v>
      </c>
      <c r="U23" s="58">
        <f t="shared" si="15"/>
        <v>3327981.4420000003</v>
      </c>
      <c r="V23" s="58">
        <f t="shared" si="15"/>
        <v>3506409.885999999</v>
      </c>
      <c r="W23" s="58">
        <f t="shared" si="15"/>
        <v>3711205.2239999999</v>
      </c>
      <c r="X23" s="58">
        <f t="shared" si="15"/>
        <v>4305856.79</v>
      </c>
      <c r="Y23" s="58">
        <f t="shared" si="15"/>
        <v>4760076.7819999987</v>
      </c>
      <c r="Z23" s="58">
        <f t="shared" si="15"/>
        <v>5233308.9850000003</v>
      </c>
      <c r="AA23" s="58">
        <f t="shared" si="15"/>
        <v>4621631.1229999997</v>
      </c>
      <c r="AB23" s="58">
        <f t="shared" si="15"/>
        <v>5503348.665000001</v>
      </c>
      <c r="AC23" s="58">
        <f t="shared" si="15"/>
        <v>5712765</v>
      </c>
      <c r="AD23" s="58">
        <f t="shared" si="15"/>
        <v>5904547.2089999979</v>
      </c>
      <c r="AE23" s="58">
        <f t="shared" si="15"/>
        <v>6151722.0719999997</v>
      </c>
      <c r="AF23" s="58">
        <f t="shared" si="15"/>
        <v>6483997.9960000003</v>
      </c>
      <c r="AG23" s="58">
        <f t="shared" si="15"/>
        <v>7160959.3460000008</v>
      </c>
      <c r="AH23" s="58">
        <f t="shared" si="15"/>
        <v>8131725.2429999989</v>
      </c>
      <c r="AI23" s="58">
        <f t="shared" si="15"/>
        <v>8121298.835</v>
      </c>
      <c r="AJ23" s="58">
        <f t="shared" si="15"/>
        <v>0</v>
      </c>
      <c r="AK23" s="58">
        <f t="shared" si="15"/>
        <v>9089176.7339999992</v>
      </c>
    </row>
    <row r="24" spans="1:37" ht="12.75" customHeight="1">
      <c r="A24" s="6" t="s">
        <v>94</v>
      </c>
      <c r="AA24" s="10">
        <v>0</v>
      </c>
    </row>
    <row r="25" spans="1:37" ht="12.75" customHeight="1">
      <c r="A25" s="1" t="s">
        <v>38</v>
      </c>
      <c r="J25" s="157">
        <v>15407.030999999999</v>
      </c>
      <c r="M25" s="1">
        <v>19863.101000000002</v>
      </c>
      <c r="O25" s="1">
        <v>25670.386999999999</v>
      </c>
      <c r="R25" s="20">
        <v>35331.415000000001</v>
      </c>
      <c r="S25" s="1">
        <v>42924.266000000003</v>
      </c>
      <c r="T25" s="1">
        <v>41221.035000000003</v>
      </c>
      <c r="U25" s="1">
        <v>50808.667999999998</v>
      </c>
      <c r="V25" s="1">
        <v>47031.574999999997</v>
      </c>
      <c r="W25" s="157">
        <v>51450.142999999996</v>
      </c>
      <c r="X25" s="157">
        <v>56790.298000000003</v>
      </c>
      <c r="Y25" s="157">
        <v>58706.675000000003</v>
      </c>
      <c r="Z25" s="157">
        <v>58680.936999999998</v>
      </c>
      <c r="AA25" s="157">
        <v>61233.963000000003</v>
      </c>
      <c r="AB25" s="157">
        <v>60675.631999999998</v>
      </c>
      <c r="AC25" s="157">
        <v>56743</v>
      </c>
      <c r="AD25" s="1">
        <v>65743.096000000005</v>
      </c>
      <c r="AE25" s="1">
        <v>68641.160999999993</v>
      </c>
      <c r="AF25" s="1">
        <v>68414.210999999996</v>
      </c>
      <c r="AG25" s="1">
        <v>63736.978999999999</v>
      </c>
      <c r="AH25" s="1">
        <v>60674.858</v>
      </c>
      <c r="AI25" s="1">
        <v>58764.131999999998</v>
      </c>
      <c r="AK25" s="1">
        <v>58539.019</v>
      </c>
    </row>
    <row r="26" spans="1:37" ht="12.75" customHeight="1">
      <c r="A26" s="1" t="s">
        <v>39</v>
      </c>
      <c r="J26" s="157">
        <v>88402.16399999999</v>
      </c>
      <c r="M26" s="1">
        <v>101855.35800000001</v>
      </c>
      <c r="O26" s="1">
        <v>121510.78</v>
      </c>
      <c r="R26" s="20">
        <v>168534.45199999999</v>
      </c>
      <c r="S26" s="1">
        <v>173840.785</v>
      </c>
      <c r="T26" s="1">
        <v>170704.59899999999</v>
      </c>
      <c r="U26" s="1">
        <v>197174.361</v>
      </c>
      <c r="V26" s="1">
        <v>201432.269</v>
      </c>
      <c r="W26" s="157">
        <v>214053.12300000002</v>
      </c>
      <c r="X26" s="157">
        <v>246140.58900000001</v>
      </c>
      <c r="Y26" s="157">
        <v>260884.171</v>
      </c>
      <c r="Z26" s="157">
        <v>309759.46399999998</v>
      </c>
      <c r="AA26" s="157">
        <v>352001.56699999998</v>
      </c>
      <c r="AB26" s="157">
        <v>339450.42</v>
      </c>
      <c r="AC26" s="157">
        <v>340452</v>
      </c>
      <c r="AD26" s="1">
        <v>366598.54200000002</v>
      </c>
      <c r="AE26" s="1">
        <v>361965.495</v>
      </c>
      <c r="AF26" s="1">
        <v>350139.59399999998</v>
      </c>
      <c r="AG26" s="1">
        <v>452143.87699999998</v>
      </c>
      <c r="AH26" s="1">
        <v>568325.98300000001</v>
      </c>
      <c r="AI26" s="1">
        <v>542269.30200000003</v>
      </c>
      <c r="AK26" s="1">
        <v>548963.83600000001</v>
      </c>
    </row>
    <row r="27" spans="1:37" ht="12.75" customHeight="1">
      <c r="A27" s="1" t="s">
        <v>40</v>
      </c>
      <c r="J27" s="157">
        <v>625912.31999999995</v>
      </c>
      <c r="M27" s="1">
        <v>809778.05300000007</v>
      </c>
      <c r="O27" s="1">
        <v>879861.16399999987</v>
      </c>
      <c r="R27" s="20">
        <v>1439263.304</v>
      </c>
      <c r="S27" s="1">
        <v>1650378.8820000002</v>
      </c>
      <c r="T27" s="1">
        <v>1514229.6170000001</v>
      </c>
      <c r="U27" s="1">
        <v>1612746.3659999999</v>
      </c>
      <c r="V27" s="1">
        <v>1821209.4779999999</v>
      </c>
      <c r="W27" s="157">
        <v>1839822.541</v>
      </c>
      <c r="X27" s="157">
        <v>2051038.868</v>
      </c>
      <c r="Y27" s="157">
        <v>2250497.5619999999</v>
      </c>
      <c r="Z27" s="157">
        <v>2463579.1349999998</v>
      </c>
      <c r="AA27" s="157">
        <v>2075308.6740000001</v>
      </c>
      <c r="AB27" s="157">
        <v>2860680.2220000001</v>
      </c>
      <c r="AC27" s="157">
        <v>2917827</v>
      </c>
      <c r="AD27" s="1">
        <v>3067560.4870000002</v>
      </c>
      <c r="AE27" s="1">
        <v>3066061.585</v>
      </c>
      <c r="AF27" s="1">
        <v>3312123.6209999998</v>
      </c>
      <c r="AG27" s="1">
        <v>3618222.22</v>
      </c>
      <c r="AH27" s="1">
        <v>3886085.577</v>
      </c>
      <c r="AI27" s="1">
        <v>4038635.32</v>
      </c>
      <c r="AK27" s="1">
        <v>4722423.7759999996</v>
      </c>
    </row>
    <row r="28" spans="1:37" ht="12.75" customHeight="1">
      <c r="A28" s="1" t="s">
        <v>41</v>
      </c>
      <c r="J28" s="157">
        <v>128070.04800000001</v>
      </c>
      <c r="M28" s="1">
        <v>135322.43</v>
      </c>
      <c r="O28" s="1">
        <v>150018.226</v>
      </c>
      <c r="R28" s="20">
        <v>188769.49299999999</v>
      </c>
      <c r="S28" s="1">
        <v>229201.88500000001</v>
      </c>
      <c r="T28" s="1">
        <v>276626.46799999999</v>
      </c>
      <c r="U28" s="1">
        <v>255524.95199999999</v>
      </c>
      <c r="V28" s="1">
        <v>203619.91899999999</v>
      </c>
      <c r="W28" s="157">
        <v>263654.34899999999</v>
      </c>
      <c r="X28" s="157">
        <v>491701.41700000002</v>
      </c>
      <c r="Y28" s="157">
        <v>543516.08799999999</v>
      </c>
      <c r="Z28" s="157">
        <v>628270.78799999994</v>
      </c>
      <c r="AA28" s="157">
        <v>598566.12899999996</v>
      </c>
      <c r="AB28" s="157">
        <v>527451.16500000004</v>
      </c>
      <c r="AC28" s="157">
        <v>681473</v>
      </c>
      <c r="AD28" s="1">
        <v>664109.32999999996</v>
      </c>
      <c r="AE28" s="1">
        <v>651319.41500000004</v>
      </c>
      <c r="AF28" s="1">
        <v>702442.69799999997</v>
      </c>
      <c r="AG28" s="1">
        <v>783858.44099999999</v>
      </c>
      <c r="AH28" s="1">
        <v>922307.31700000004</v>
      </c>
      <c r="AI28" s="1">
        <v>975503.43</v>
      </c>
      <c r="AK28" s="1">
        <v>1075581.0419999999</v>
      </c>
    </row>
    <row r="29" spans="1:37" ht="12.75" customHeight="1">
      <c r="A29" s="1" t="s">
        <v>42</v>
      </c>
      <c r="J29" s="157">
        <v>23069.416000000001</v>
      </c>
      <c r="M29" s="1">
        <v>27193.417000000001</v>
      </c>
      <c r="O29" s="1">
        <v>24609.377</v>
      </c>
      <c r="R29" s="20">
        <v>31804.14</v>
      </c>
      <c r="S29" s="1">
        <v>28007.008999999998</v>
      </c>
      <c r="T29" s="1">
        <v>39131.025000000001</v>
      </c>
      <c r="U29" s="1">
        <v>113308.311</v>
      </c>
      <c r="V29" s="1">
        <v>111673.68799999999</v>
      </c>
      <c r="W29" s="157">
        <v>113817.18700000001</v>
      </c>
      <c r="X29" s="157">
        <v>126654.08</v>
      </c>
      <c r="Y29" s="157">
        <v>144658.40299999999</v>
      </c>
      <c r="Z29" s="157">
        <v>173707.21400000001</v>
      </c>
      <c r="AA29" s="157">
        <v>187018.72500000001</v>
      </c>
      <c r="AB29" s="157">
        <v>181636.47700000001</v>
      </c>
      <c r="AC29" s="157">
        <v>164737</v>
      </c>
      <c r="AD29" s="1">
        <v>168487.851</v>
      </c>
      <c r="AE29" s="1">
        <v>175108.68799999999</v>
      </c>
      <c r="AF29" s="1">
        <v>183766.204</v>
      </c>
      <c r="AG29" s="1">
        <v>193525.28</v>
      </c>
      <c r="AH29" s="1">
        <v>207442.42</v>
      </c>
      <c r="AI29" s="1">
        <v>231305.51800000001</v>
      </c>
      <c r="AK29" s="1">
        <v>277687.86300000001</v>
      </c>
    </row>
    <row r="30" spans="1:37" ht="12.75" customHeight="1">
      <c r="A30" s="1" t="s">
        <v>43</v>
      </c>
      <c r="J30" s="157">
        <v>30595.324999999997</v>
      </c>
      <c r="M30" s="1">
        <v>35831.861000000004</v>
      </c>
      <c r="O30" s="1">
        <v>38961.502999999997</v>
      </c>
      <c r="R30" s="20">
        <v>47305.305999999997</v>
      </c>
      <c r="S30" s="1">
        <v>52978.012000000002</v>
      </c>
      <c r="T30" s="1">
        <v>59708.008000000002</v>
      </c>
      <c r="U30" s="1">
        <v>66385.028000000006</v>
      </c>
      <c r="V30" s="1">
        <v>75173.956999999995</v>
      </c>
      <c r="W30" s="157">
        <v>80337.490999999995</v>
      </c>
      <c r="X30" s="157">
        <v>89859.722999999998</v>
      </c>
      <c r="Y30" s="157">
        <v>86007.429000000004</v>
      </c>
      <c r="Z30" s="157">
        <v>88212.145999999993</v>
      </c>
      <c r="AA30" s="157">
        <v>80170.850000000006</v>
      </c>
      <c r="AB30" s="157">
        <v>75525.123000000007</v>
      </c>
      <c r="AC30" s="157">
        <v>81318</v>
      </c>
      <c r="AD30" s="1">
        <v>89125.489000000001</v>
      </c>
      <c r="AE30" s="1">
        <v>96794.417000000001</v>
      </c>
      <c r="AF30" s="1">
        <v>94630.608999999997</v>
      </c>
      <c r="AG30" s="1">
        <v>91230.861000000004</v>
      </c>
      <c r="AH30" s="1">
        <v>98978.925000000003</v>
      </c>
      <c r="AI30" s="1">
        <v>103040.713</v>
      </c>
      <c r="AK30" s="1">
        <v>104066.814</v>
      </c>
    </row>
    <row r="31" spans="1:37" ht="12.75" customHeight="1">
      <c r="A31" s="1" t="s">
        <v>44</v>
      </c>
      <c r="J31" s="157">
        <v>15741.478999999999</v>
      </c>
      <c r="M31" s="1">
        <v>22564.663</v>
      </c>
      <c r="O31" s="1">
        <v>28028.106</v>
      </c>
      <c r="R31" s="27">
        <v>47046.615000000005</v>
      </c>
      <c r="S31" s="1">
        <v>42373.832999999999</v>
      </c>
      <c r="T31" s="1">
        <v>49136.220999999998</v>
      </c>
      <c r="U31" s="1">
        <v>40602.216</v>
      </c>
      <c r="V31" s="1">
        <v>42556.478999999999</v>
      </c>
      <c r="W31" s="157">
        <v>46844.29</v>
      </c>
      <c r="X31" s="157">
        <v>56523.307000000001</v>
      </c>
      <c r="Y31" s="157">
        <v>58990.627</v>
      </c>
      <c r="Z31" s="157">
        <v>62008.951999999997</v>
      </c>
      <c r="AA31" s="157">
        <v>63123.883999999998</v>
      </c>
      <c r="AB31" s="157">
        <v>58778.591999999997</v>
      </c>
      <c r="AC31" s="157">
        <v>55063</v>
      </c>
      <c r="AD31" s="1">
        <v>58086.726000000002</v>
      </c>
      <c r="AE31" s="1">
        <v>60144.146000000001</v>
      </c>
      <c r="AF31" s="1">
        <v>62791.86</v>
      </c>
      <c r="AG31" s="1">
        <v>68998.62</v>
      </c>
      <c r="AH31" s="1">
        <v>69894.395000000004</v>
      </c>
      <c r="AI31" s="1">
        <v>76315.142999999996</v>
      </c>
      <c r="AK31" s="1">
        <v>83264.801000000007</v>
      </c>
    </row>
    <row r="32" spans="1:37" ht="12.75" customHeight="1">
      <c r="A32" s="1" t="s">
        <v>45</v>
      </c>
      <c r="J32" s="157">
        <v>34754.745999999999</v>
      </c>
      <c r="M32" s="1">
        <v>51429.622000000003</v>
      </c>
      <c r="O32" s="1">
        <v>52573.483</v>
      </c>
      <c r="R32" s="27">
        <v>61674.952999999994</v>
      </c>
      <c r="S32" s="1">
        <v>70067.638000000006</v>
      </c>
      <c r="T32" s="1">
        <v>58517.455999999998</v>
      </c>
      <c r="U32" s="1">
        <v>69441.843999999997</v>
      </c>
      <c r="V32" s="1">
        <v>81297.138000000006</v>
      </c>
      <c r="W32" s="157">
        <v>88838.294999999998</v>
      </c>
      <c r="X32" s="157">
        <v>98547.163</v>
      </c>
      <c r="Y32" s="157">
        <v>103935.78</v>
      </c>
      <c r="Z32" s="157">
        <v>97935.944000000003</v>
      </c>
      <c r="AA32" s="157">
        <v>86327.24</v>
      </c>
      <c r="AB32" s="157">
        <v>110132.47100000001</v>
      </c>
      <c r="AC32" s="157">
        <v>97495</v>
      </c>
      <c r="AD32" s="1">
        <v>87357.407000000007</v>
      </c>
      <c r="AE32" s="1">
        <v>97385.67</v>
      </c>
      <c r="AF32" s="1">
        <v>104406.143</v>
      </c>
      <c r="AG32" s="1">
        <v>118518.031</v>
      </c>
      <c r="AH32" s="1">
        <v>134107.016</v>
      </c>
      <c r="AI32" s="1">
        <v>149762.62700000001</v>
      </c>
      <c r="AK32" s="1">
        <v>126367.012</v>
      </c>
    </row>
    <row r="33" spans="1:37" ht="12.75" customHeight="1">
      <c r="A33" s="1" t="s">
        <v>46</v>
      </c>
      <c r="J33" s="157">
        <v>85490.49</v>
      </c>
      <c r="M33" s="1">
        <v>96271.214000000007</v>
      </c>
      <c r="O33" s="1">
        <v>107358.73804000001</v>
      </c>
      <c r="R33" s="27">
        <v>126469.93400000001</v>
      </c>
      <c r="S33" s="1">
        <v>143303.5</v>
      </c>
      <c r="T33" s="1">
        <v>122282.11900000001</v>
      </c>
      <c r="U33" s="1">
        <v>138492.80300000001</v>
      </c>
      <c r="V33" s="1">
        <v>144156.394</v>
      </c>
      <c r="W33" s="157">
        <v>139988.29999999999</v>
      </c>
      <c r="X33" s="157">
        <v>149081.394</v>
      </c>
      <c r="Y33" s="157">
        <v>166290.90900000001</v>
      </c>
      <c r="Z33" s="157">
        <v>196087.05499999999</v>
      </c>
      <c r="AA33" s="157">
        <v>208515.59700000001</v>
      </c>
      <c r="AB33" s="157">
        <v>199186.51800000001</v>
      </c>
      <c r="AC33" s="157">
        <v>221840</v>
      </c>
      <c r="AD33" s="1">
        <v>183279.40400000001</v>
      </c>
      <c r="AE33" s="1">
        <v>197434.704</v>
      </c>
      <c r="AF33" s="1">
        <v>201541.75399999999</v>
      </c>
      <c r="AG33" s="1">
        <v>207111.26199999999</v>
      </c>
      <c r="AH33" s="1">
        <v>215884.851</v>
      </c>
      <c r="AI33" s="1">
        <v>224668.334</v>
      </c>
      <c r="AK33" s="1">
        <v>193989.894</v>
      </c>
    </row>
    <row r="34" spans="1:37" ht="12.75" customHeight="1">
      <c r="A34" s="1" t="s">
        <v>47</v>
      </c>
      <c r="J34" s="157">
        <v>80187.565000000002</v>
      </c>
      <c r="M34" s="1">
        <v>101222.35699999999</v>
      </c>
      <c r="O34" s="1">
        <v>130936.698</v>
      </c>
      <c r="R34" s="20">
        <v>194694.86</v>
      </c>
      <c r="S34" s="1">
        <v>274559.37400000001</v>
      </c>
      <c r="T34" s="1">
        <v>215978.63200000001</v>
      </c>
      <c r="U34" s="1">
        <v>234862.58</v>
      </c>
      <c r="V34" s="1">
        <v>288322.71899999998</v>
      </c>
      <c r="W34" s="157">
        <v>339842.16499999998</v>
      </c>
      <c r="X34" s="157">
        <v>326558.32199999999</v>
      </c>
      <c r="Y34" s="157">
        <v>358196.73</v>
      </c>
      <c r="Z34" s="157">
        <v>355288.31800000003</v>
      </c>
      <c r="AA34" s="157">
        <v>179708.429</v>
      </c>
      <c r="AB34" s="157">
        <v>290640.63400000002</v>
      </c>
      <c r="AC34" s="157">
        <v>248197</v>
      </c>
      <c r="AD34" s="1">
        <v>300559.90700000001</v>
      </c>
      <c r="AE34" s="1">
        <v>420406.04</v>
      </c>
      <c r="AF34" s="1">
        <v>410338.50400000002</v>
      </c>
      <c r="AG34" s="1">
        <v>520997.19500000001</v>
      </c>
      <c r="AH34" s="1">
        <v>882343.43900000001</v>
      </c>
      <c r="AI34" s="1">
        <v>537862.57999999996</v>
      </c>
      <c r="AK34" s="1">
        <v>580590.19700000004</v>
      </c>
    </row>
    <row r="35" spans="1:37" ht="12.75" customHeight="1">
      <c r="A35" s="1" t="s">
        <v>48</v>
      </c>
      <c r="J35" s="157">
        <v>62216.790999999997</v>
      </c>
      <c r="M35" s="1">
        <v>81257.512000000002</v>
      </c>
      <c r="O35" s="1">
        <v>106055.93400000001</v>
      </c>
      <c r="R35" s="20">
        <v>167006.82800000001</v>
      </c>
      <c r="S35" s="1">
        <v>156279.606</v>
      </c>
      <c r="T35" s="1">
        <v>183003.60500000001</v>
      </c>
      <c r="U35" s="1">
        <v>150652.40700000001</v>
      </c>
      <c r="V35" s="1">
        <v>149958.696</v>
      </c>
      <c r="W35" s="157">
        <v>158198.22500000001</v>
      </c>
      <c r="X35" s="157">
        <v>173427.07199999999</v>
      </c>
      <c r="Y35" s="157">
        <v>236738.95699999999</v>
      </c>
      <c r="Z35" s="157">
        <v>290686.82699999999</v>
      </c>
      <c r="AA35" s="157">
        <v>245559.269</v>
      </c>
      <c r="AB35" s="157">
        <v>267335.78499999997</v>
      </c>
      <c r="AC35" s="157">
        <v>262051</v>
      </c>
      <c r="AD35" s="1">
        <v>265665.049</v>
      </c>
      <c r="AE35" s="1">
        <v>282808.91100000002</v>
      </c>
      <c r="AF35" s="1">
        <v>303835.45600000001</v>
      </c>
      <c r="AG35" s="1">
        <v>309276.21000000002</v>
      </c>
      <c r="AH35" s="1">
        <v>306261.27100000001</v>
      </c>
      <c r="AI35" s="1">
        <v>347590.07900000003</v>
      </c>
      <c r="AK35" s="1">
        <v>427148.87099999998</v>
      </c>
    </row>
    <row r="36" spans="1:37" ht="12.75" customHeight="1">
      <c r="A36" s="1" t="s">
        <v>49</v>
      </c>
      <c r="J36" s="157">
        <v>136475.068</v>
      </c>
      <c r="M36" s="1">
        <v>175338.299</v>
      </c>
      <c r="O36" s="1">
        <v>198616.43300000002</v>
      </c>
      <c r="R36" s="20">
        <v>247229.75599999999</v>
      </c>
      <c r="S36" s="1">
        <v>268324.76799999998</v>
      </c>
      <c r="T36" s="1">
        <v>302085.18699999998</v>
      </c>
      <c r="U36" s="1">
        <v>374348.56</v>
      </c>
      <c r="V36" s="1">
        <v>309329.88199999998</v>
      </c>
      <c r="W36" s="157">
        <v>344262.745</v>
      </c>
      <c r="X36" s="157">
        <v>405209.94500000001</v>
      </c>
      <c r="Y36" s="157">
        <v>445537.41399999999</v>
      </c>
      <c r="Z36" s="157">
        <v>470049.21399999998</v>
      </c>
      <c r="AA36" s="157">
        <v>434418.64899999998</v>
      </c>
      <c r="AB36" s="157">
        <v>469370.45400000003</v>
      </c>
      <c r="AC36" s="157">
        <v>508845</v>
      </c>
      <c r="AD36" s="1">
        <v>515508.99699999997</v>
      </c>
      <c r="AE36" s="1">
        <v>592498.06000000006</v>
      </c>
      <c r="AF36" s="1">
        <v>620657.90800000005</v>
      </c>
      <c r="AG36" s="1">
        <v>642147.69499999995</v>
      </c>
      <c r="AH36" s="1">
        <v>677640.51800000004</v>
      </c>
      <c r="AI36" s="1">
        <v>754191.10199999996</v>
      </c>
      <c r="AK36" s="1">
        <v>816533.60900000005</v>
      </c>
    </row>
    <row r="37" spans="1:37" ht="12.75" customHeight="1">
      <c r="A37" s="30" t="s">
        <v>50</v>
      </c>
      <c r="B37" s="30"/>
      <c r="C37" s="30"/>
      <c r="D37" s="30"/>
      <c r="E37" s="30"/>
      <c r="F37" s="30"/>
      <c r="G37" s="30"/>
      <c r="H37" s="30"/>
      <c r="I37" s="30"/>
      <c r="J37" s="158">
        <v>12601.25</v>
      </c>
      <c r="K37" s="30"/>
      <c r="L37" s="30"/>
      <c r="M37" s="30">
        <v>19901.927</v>
      </c>
      <c r="N37" s="30"/>
      <c r="O37" s="30">
        <v>18860.209000000003</v>
      </c>
      <c r="P37" s="30"/>
      <c r="Q37" s="30"/>
      <c r="R37" s="40">
        <v>20895.692000000003</v>
      </c>
      <c r="S37" s="30">
        <v>27639.830999999998</v>
      </c>
      <c r="T37" s="30">
        <v>26990.491999999998</v>
      </c>
      <c r="U37" s="30">
        <v>23633.346000000001</v>
      </c>
      <c r="V37" s="30">
        <v>30647.691999999999</v>
      </c>
      <c r="W37" s="158">
        <v>30096.37</v>
      </c>
      <c r="X37" s="158">
        <v>34324.612000000001</v>
      </c>
      <c r="Y37" s="158">
        <v>46116.036999999997</v>
      </c>
      <c r="Z37" s="158">
        <v>39042.991000000002</v>
      </c>
      <c r="AA37" s="158">
        <v>49678.146999999997</v>
      </c>
      <c r="AB37" s="158">
        <v>62485.171999999999</v>
      </c>
      <c r="AC37" s="158">
        <v>76724</v>
      </c>
      <c r="AD37" s="30">
        <v>72464.923999999999</v>
      </c>
      <c r="AE37" s="30">
        <v>81153.78</v>
      </c>
      <c r="AF37" s="30">
        <v>68909.433999999994</v>
      </c>
      <c r="AG37" s="30">
        <v>91192.675000000003</v>
      </c>
      <c r="AH37" s="30">
        <v>101778.673</v>
      </c>
      <c r="AI37" s="30">
        <v>81390.554999999993</v>
      </c>
      <c r="AJ37" s="30"/>
      <c r="AK37" s="30">
        <v>74020</v>
      </c>
    </row>
    <row r="38" spans="1:37" ht="12.75" customHeight="1">
      <c r="A38" s="6" t="s">
        <v>51</v>
      </c>
      <c r="J38" s="58">
        <f>SUM(J40:J51)</f>
        <v>1480621.1579999998</v>
      </c>
      <c r="M38" s="58">
        <f>SUM(M40:M51)</f>
        <v>1722751.62</v>
      </c>
      <c r="O38" s="58">
        <f>SUM(O40:O51)</f>
        <v>1977295.8350199999</v>
      </c>
      <c r="R38" s="58">
        <f t="shared" ref="R38:AK38" si="16">SUM(R40:R51)</f>
        <v>2568874.318</v>
      </c>
      <c r="S38" s="58">
        <f t="shared" si="16"/>
        <v>2967725.8830000004</v>
      </c>
      <c r="T38" s="58">
        <f t="shared" si="16"/>
        <v>3131635.7169999997</v>
      </c>
      <c r="U38" s="58">
        <f t="shared" si="16"/>
        <v>3376676.0999999996</v>
      </c>
      <c r="V38" s="58">
        <f t="shared" si="16"/>
        <v>3398600.1679999996</v>
      </c>
      <c r="W38" s="58">
        <f t="shared" si="16"/>
        <v>3698238.1620000005</v>
      </c>
      <c r="X38" s="58">
        <f t="shared" si="16"/>
        <v>3786095.6839999999</v>
      </c>
      <c r="Y38" s="58">
        <f t="shared" si="16"/>
        <v>4037776.4559999998</v>
      </c>
      <c r="Z38" s="58">
        <f t="shared" si="16"/>
        <v>4407579.5520000001</v>
      </c>
      <c r="AA38" s="58">
        <f t="shared" si="16"/>
        <v>4337841.9180000005</v>
      </c>
      <c r="AB38" s="58">
        <f t="shared" si="16"/>
        <v>4560749.1840000004</v>
      </c>
      <c r="AC38" s="58">
        <f t="shared" si="16"/>
        <v>4565211</v>
      </c>
      <c r="AD38" s="58">
        <f t="shared" si="16"/>
        <v>4719960.5619999999</v>
      </c>
      <c r="AE38" s="58">
        <f t="shared" si="16"/>
        <v>5058048.33</v>
      </c>
      <c r="AF38" s="58">
        <f t="shared" si="16"/>
        <v>5341367.3840000005</v>
      </c>
      <c r="AG38" s="58">
        <f t="shared" si="16"/>
        <v>5685764.476999999</v>
      </c>
      <c r="AH38" s="58">
        <f t="shared" si="16"/>
        <v>5605532.9240000006</v>
      </c>
      <c r="AI38" s="58">
        <f t="shared" si="16"/>
        <v>5994056.0749999993</v>
      </c>
      <c r="AJ38" s="58">
        <f t="shared" si="16"/>
        <v>0</v>
      </c>
      <c r="AK38" s="58">
        <f t="shared" si="16"/>
        <v>6351285.1789999995</v>
      </c>
    </row>
    <row r="39" spans="1:37" ht="12.75" customHeight="1">
      <c r="A39" s="6" t="s">
        <v>94</v>
      </c>
      <c r="AA39" s="10">
        <v>0</v>
      </c>
    </row>
    <row r="40" spans="1:37" ht="12.75" customHeight="1">
      <c r="A40" s="1" t="s">
        <v>52</v>
      </c>
      <c r="J40" s="157">
        <v>217510.75700000001</v>
      </c>
      <c r="M40" s="1">
        <v>205642.86600000001</v>
      </c>
      <c r="O40" s="1">
        <v>239683.42</v>
      </c>
      <c r="R40" s="20">
        <v>332336.25100000005</v>
      </c>
      <c r="S40" s="1">
        <v>372534.89899999998</v>
      </c>
      <c r="T40" s="1">
        <v>434041.68099999998</v>
      </c>
      <c r="U40" s="1">
        <v>438875.913</v>
      </c>
      <c r="V40" s="1">
        <v>342795.54100000003</v>
      </c>
      <c r="W40" s="157">
        <v>370391.24199999997</v>
      </c>
      <c r="X40" s="157">
        <v>410378.05599999998</v>
      </c>
      <c r="Y40" s="157">
        <v>433967.06800000003</v>
      </c>
      <c r="Z40" s="157">
        <v>469184.185</v>
      </c>
      <c r="AA40" s="157">
        <v>475253.93599999999</v>
      </c>
      <c r="AB40" s="157">
        <v>493493.734</v>
      </c>
      <c r="AC40" s="157">
        <v>471711</v>
      </c>
      <c r="AD40" s="1">
        <v>482296.06199999998</v>
      </c>
      <c r="AE40" s="1">
        <v>484872.87599999999</v>
      </c>
      <c r="AF40" s="1">
        <v>638623.53500000003</v>
      </c>
      <c r="AG40" s="1">
        <v>638576.27599999995</v>
      </c>
      <c r="AH40" s="1">
        <v>495801.11800000002</v>
      </c>
      <c r="AI40" s="1">
        <v>572154.14800000004</v>
      </c>
      <c r="AK40" s="1">
        <v>684835.97900000005</v>
      </c>
    </row>
    <row r="41" spans="1:37" ht="12.75" customHeight="1">
      <c r="A41" s="1" t="s">
        <v>53</v>
      </c>
      <c r="J41" s="157">
        <v>151952.46400000001</v>
      </c>
      <c r="M41" s="1">
        <v>152930.70699999999</v>
      </c>
      <c r="O41" s="1">
        <v>172290.633</v>
      </c>
      <c r="R41" s="20">
        <v>227607.375</v>
      </c>
      <c r="S41" s="1">
        <v>298299.41100000002</v>
      </c>
      <c r="T41" s="1">
        <v>391273.48800000001</v>
      </c>
      <c r="U41" s="1">
        <v>355388.071</v>
      </c>
      <c r="V41" s="1">
        <v>412229.94</v>
      </c>
      <c r="W41" s="157">
        <v>439398.03300000005</v>
      </c>
      <c r="X41" s="157">
        <v>392798.984</v>
      </c>
      <c r="Y41" s="157">
        <v>440045.28100000002</v>
      </c>
      <c r="Z41" s="157">
        <v>459451.71399999998</v>
      </c>
      <c r="AA41" s="157">
        <v>500309.19799999997</v>
      </c>
      <c r="AB41" s="157">
        <v>445344.42200000002</v>
      </c>
      <c r="AC41" s="157">
        <v>461343</v>
      </c>
      <c r="AD41" s="1">
        <v>461138.52799999999</v>
      </c>
      <c r="AE41" s="1">
        <v>471904.924</v>
      </c>
      <c r="AF41" s="1">
        <v>527265.07700000005</v>
      </c>
      <c r="AG41" s="1">
        <v>554966.03399999999</v>
      </c>
      <c r="AH41" s="1">
        <v>582394.61100000003</v>
      </c>
      <c r="AI41" s="1">
        <v>579599.74800000002</v>
      </c>
      <c r="AK41" s="1">
        <v>645268.06900000002</v>
      </c>
    </row>
    <row r="42" spans="1:37" ht="12.75" customHeight="1">
      <c r="A42" s="1" t="s">
        <v>54</v>
      </c>
      <c r="J42" s="157">
        <v>75930.720000000001</v>
      </c>
      <c r="M42" s="1">
        <v>85270.831000000006</v>
      </c>
      <c r="O42" s="1">
        <v>98051.851999999999</v>
      </c>
      <c r="R42" s="20">
        <v>121441.56200000001</v>
      </c>
      <c r="S42" s="1">
        <v>128188.32500000001</v>
      </c>
      <c r="T42" s="1">
        <v>147092.15900000001</v>
      </c>
      <c r="U42" s="1">
        <v>169535.375</v>
      </c>
      <c r="V42" s="1">
        <v>144234.41899999999</v>
      </c>
      <c r="W42" s="157">
        <v>160626.80900000001</v>
      </c>
      <c r="X42" s="157">
        <v>172176.08600000001</v>
      </c>
      <c r="Y42" s="157">
        <v>176749.565</v>
      </c>
      <c r="Z42" s="157">
        <v>197085.742</v>
      </c>
      <c r="AA42" s="157">
        <v>213148.36300000001</v>
      </c>
      <c r="AB42" s="157">
        <v>214835.272</v>
      </c>
      <c r="AC42" s="157">
        <v>220684</v>
      </c>
      <c r="AD42" s="1">
        <v>214053.44399999999</v>
      </c>
      <c r="AE42" s="1">
        <v>222279.84299999999</v>
      </c>
      <c r="AF42" s="1">
        <v>258301.8</v>
      </c>
      <c r="AG42" s="1">
        <v>255817.45600000001</v>
      </c>
      <c r="AH42" s="1">
        <v>278051.88400000002</v>
      </c>
      <c r="AI42" s="1">
        <v>292785.56199999998</v>
      </c>
      <c r="AK42" s="1">
        <v>287503.239</v>
      </c>
    </row>
    <row r="43" spans="1:37" ht="12.75" customHeight="1">
      <c r="A43" s="1" t="s">
        <v>55</v>
      </c>
      <c r="J43" s="157">
        <v>51223.67</v>
      </c>
      <c r="M43" s="1">
        <v>70368.478999999992</v>
      </c>
      <c r="O43" s="1">
        <v>88826.775630000004</v>
      </c>
      <c r="R43" s="20">
        <v>109277.671</v>
      </c>
      <c r="S43" s="1">
        <v>99022.072</v>
      </c>
      <c r="T43" s="1">
        <v>169475.89600000001</v>
      </c>
      <c r="U43" s="1">
        <v>183786.495</v>
      </c>
      <c r="V43" s="1">
        <v>169975.94399999999</v>
      </c>
      <c r="W43" s="157">
        <v>194866.701</v>
      </c>
      <c r="X43" s="157">
        <v>209152.405</v>
      </c>
      <c r="Y43" s="157">
        <v>148072.568</v>
      </c>
      <c r="Z43" s="157">
        <v>155013.75700000001</v>
      </c>
      <c r="AA43" s="157">
        <v>191805.02100000001</v>
      </c>
      <c r="AB43" s="157">
        <v>225451.524</v>
      </c>
      <c r="AC43" s="157">
        <v>216752</v>
      </c>
      <c r="AD43" s="1">
        <v>244776.886</v>
      </c>
      <c r="AE43" s="1">
        <v>285341.929</v>
      </c>
      <c r="AF43" s="1">
        <v>288747.00300000003</v>
      </c>
      <c r="AG43" s="1">
        <v>301092.05599999998</v>
      </c>
      <c r="AH43" s="1">
        <v>284884.75</v>
      </c>
      <c r="AI43" s="1">
        <v>255608.10800000001</v>
      </c>
      <c r="AK43" s="1">
        <v>277960.18099999998</v>
      </c>
    </row>
    <row r="44" spans="1:37" ht="12.75" customHeight="1">
      <c r="A44" s="1" t="s">
        <v>56</v>
      </c>
      <c r="J44" s="157">
        <v>276871.37199999997</v>
      </c>
      <c r="M44" s="1">
        <v>327414.44699999999</v>
      </c>
      <c r="O44" s="1">
        <v>367635.473</v>
      </c>
      <c r="R44" s="20">
        <v>504277.77599999995</v>
      </c>
      <c r="S44" s="1">
        <v>543051.53300000005</v>
      </c>
      <c r="T44" s="1">
        <v>490319.951</v>
      </c>
      <c r="U44" s="1">
        <v>564877.46699999995</v>
      </c>
      <c r="V44" s="1">
        <v>594086.09299999999</v>
      </c>
      <c r="W44" s="157">
        <v>625679.43999999994</v>
      </c>
      <c r="X44" s="157">
        <v>573641.40099999995</v>
      </c>
      <c r="Y44" s="157">
        <v>620891.772</v>
      </c>
      <c r="Z44" s="157">
        <v>667772.65500000003</v>
      </c>
      <c r="AA44" s="157">
        <v>677083.55900000001</v>
      </c>
      <c r="AB44" s="157">
        <v>649507.26399999997</v>
      </c>
      <c r="AC44" s="157">
        <v>652260</v>
      </c>
      <c r="AD44" s="1">
        <v>658956.96900000004</v>
      </c>
      <c r="AE44" s="1">
        <v>772754.99199999997</v>
      </c>
      <c r="AF44" s="1">
        <v>768004.50199999998</v>
      </c>
      <c r="AG44" s="1">
        <v>831303.946</v>
      </c>
      <c r="AH44" s="1">
        <v>829660.57</v>
      </c>
      <c r="AI44" s="1">
        <v>950934.71100000001</v>
      </c>
      <c r="AK44" s="1">
        <v>918648.41899999999</v>
      </c>
    </row>
    <row r="45" spans="1:37" ht="12.75" customHeight="1">
      <c r="A45" s="1" t="s">
        <v>57</v>
      </c>
      <c r="J45" s="157">
        <v>192042.03399999999</v>
      </c>
      <c r="M45" s="1">
        <v>254469.90100000001</v>
      </c>
      <c r="O45" s="1">
        <v>280360.489</v>
      </c>
      <c r="R45" s="20">
        <v>314385.61100000003</v>
      </c>
      <c r="S45" s="1">
        <v>368567.25899999996</v>
      </c>
      <c r="T45" s="1">
        <v>371889.603</v>
      </c>
      <c r="U45" s="1">
        <v>395434.11800000002</v>
      </c>
      <c r="V45" s="1">
        <v>412655.50099999999</v>
      </c>
      <c r="W45" s="157">
        <v>415572.37199999997</v>
      </c>
      <c r="X45" s="157">
        <v>421642.55</v>
      </c>
      <c r="Y45" s="157">
        <v>529695.64500000002</v>
      </c>
      <c r="Z45" s="157">
        <v>547757.84299999999</v>
      </c>
      <c r="AA45" s="157">
        <v>556961.48699999996</v>
      </c>
      <c r="AB45" s="157">
        <v>624591.13600000006</v>
      </c>
      <c r="AC45" s="157">
        <v>625551</v>
      </c>
      <c r="AD45" s="1">
        <v>667324.50199999998</v>
      </c>
      <c r="AE45" s="1">
        <v>691088.00199999998</v>
      </c>
      <c r="AF45" s="1">
        <v>755022.12800000003</v>
      </c>
      <c r="AG45" s="1">
        <v>777246.26599999995</v>
      </c>
      <c r="AH45" s="1">
        <v>838368.59299999999</v>
      </c>
      <c r="AI45" s="1">
        <v>860355.97499999998</v>
      </c>
      <c r="AK45" s="1">
        <v>954743.35199999996</v>
      </c>
    </row>
    <row r="46" spans="1:37" ht="12.75" customHeight="1">
      <c r="A46" s="1" t="s">
        <v>58</v>
      </c>
      <c r="J46" s="157">
        <v>61272.334999999999</v>
      </c>
      <c r="M46" s="1">
        <v>87993.691000000006</v>
      </c>
      <c r="O46" s="1">
        <v>120946.93</v>
      </c>
      <c r="R46" s="20">
        <v>136282.182</v>
      </c>
      <c r="S46" s="1">
        <v>215753.93799999999</v>
      </c>
      <c r="T46" s="1">
        <v>141808.24299999999</v>
      </c>
      <c r="U46" s="1">
        <v>153875.54199999999</v>
      </c>
      <c r="V46" s="1">
        <v>161794.66</v>
      </c>
      <c r="W46" s="157">
        <v>204735.93400000001</v>
      </c>
      <c r="X46" s="157">
        <v>175075.26300000001</v>
      </c>
      <c r="Y46" s="157">
        <v>186939.405</v>
      </c>
      <c r="Z46" s="157">
        <v>219401.72</v>
      </c>
      <c r="AA46" s="157">
        <v>225472.36900000001</v>
      </c>
      <c r="AB46" s="157">
        <v>231516.285</v>
      </c>
      <c r="AC46" s="157">
        <v>224928</v>
      </c>
      <c r="AD46" s="1">
        <v>265364.65100000001</v>
      </c>
      <c r="AE46" s="1">
        <v>237232.87400000001</v>
      </c>
      <c r="AF46" s="1">
        <v>241485.91899999999</v>
      </c>
      <c r="AG46" s="1">
        <v>249863.06700000001</v>
      </c>
      <c r="AH46" s="1">
        <v>262949.125</v>
      </c>
      <c r="AI46" s="1">
        <v>264394.24900000001</v>
      </c>
      <c r="AK46" s="1">
        <v>293991.30800000002</v>
      </c>
    </row>
    <row r="47" spans="1:37" ht="12.75" customHeight="1">
      <c r="A47" s="1" t="s">
        <v>59</v>
      </c>
      <c r="J47" s="157">
        <v>58899.493000000002</v>
      </c>
      <c r="M47" s="1">
        <v>72048.624000000011</v>
      </c>
      <c r="O47" s="1">
        <v>64731.436999999998</v>
      </c>
      <c r="R47" s="27">
        <v>110525.91</v>
      </c>
      <c r="S47" s="1">
        <v>128654.844</v>
      </c>
      <c r="T47" s="1">
        <v>143276.321</v>
      </c>
      <c r="U47" s="1">
        <v>153651.27600000001</v>
      </c>
      <c r="V47" s="1">
        <v>170435.40700000001</v>
      </c>
      <c r="W47" s="157">
        <v>181041.77</v>
      </c>
      <c r="X47" s="157">
        <v>238603.64199999999</v>
      </c>
      <c r="Y47" s="157">
        <v>239866.435</v>
      </c>
      <c r="Z47" s="157">
        <v>269306.54399999999</v>
      </c>
      <c r="AA47" s="157">
        <v>96014.705000000002</v>
      </c>
      <c r="AB47" s="157">
        <v>272689.15600000002</v>
      </c>
      <c r="AC47" s="157">
        <v>275144</v>
      </c>
      <c r="AD47" s="1">
        <v>260408.33799999999</v>
      </c>
      <c r="AE47" s="1">
        <v>298033.32699999999</v>
      </c>
      <c r="AF47" s="1">
        <v>305256.69699999999</v>
      </c>
      <c r="AG47" s="1">
        <v>383677.21799999999</v>
      </c>
      <c r="AH47" s="1">
        <v>373154.72499999998</v>
      </c>
      <c r="AI47" s="1">
        <v>390375.02399999998</v>
      </c>
      <c r="AK47" s="1">
        <v>378446.49900000001</v>
      </c>
    </row>
    <row r="48" spans="1:37" ht="12.75" customHeight="1">
      <c r="A48" s="1" t="s">
        <v>60</v>
      </c>
      <c r="J48" s="157">
        <v>18069.159</v>
      </c>
      <c r="M48" s="1">
        <v>22262.078999999998</v>
      </c>
      <c r="O48" s="1">
        <v>26422.179000000004</v>
      </c>
      <c r="R48" s="20">
        <v>29224.702000000001</v>
      </c>
      <c r="S48" s="1">
        <v>31039.080999999998</v>
      </c>
      <c r="T48" s="1">
        <v>34590.735999999997</v>
      </c>
      <c r="U48" s="1">
        <v>38428.089</v>
      </c>
      <c r="V48" s="1">
        <v>42819.328999999998</v>
      </c>
      <c r="W48" s="157">
        <v>44550.739000000001</v>
      </c>
      <c r="X48" s="157">
        <v>62035.173000000003</v>
      </c>
      <c r="Y48" s="157">
        <v>49009.932000000001</v>
      </c>
      <c r="Z48" s="157">
        <v>55977.536999999997</v>
      </c>
      <c r="AA48" s="157">
        <v>62144.364000000001</v>
      </c>
      <c r="AB48" s="157">
        <v>66817.967000000004</v>
      </c>
      <c r="AC48" s="157">
        <v>64771</v>
      </c>
      <c r="AD48" s="1">
        <v>73616.384999999995</v>
      </c>
      <c r="AE48" s="1">
        <v>75524.043999999994</v>
      </c>
      <c r="AF48" s="1">
        <v>78731.960999999996</v>
      </c>
      <c r="AG48" s="1">
        <v>73587.065000000002</v>
      </c>
      <c r="AH48" s="1">
        <v>70754.59</v>
      </c>
      <c r="AI48" s="1">
        <v>79367.793000000005</v>
      </c>
      <c r="AK48" s="1">
        <v>92951.712</v>
      </c>
    </row>
    <row r="49" spans="1:37" ht="12.75" customHeight="1">
      <c r="A49" s="1" t="s">
        <v>61</v>
      </c>
      <c r="J49" s="157">
        <v>223488.40599999999</v>
      </c>
      <c r="M49" s="1">
        <v>276860.05800000002</v>
      </c>
      <c r="O49" s="1">
        <v>307046.52300000004</v>
      </c>
      <c r="R49" s="20">
        <v>393501.16300000006</v>
      </c>
      <c r="S49" s="1">
        <v>470154.22499999998</v>
      </c>
      <c r="T49" s="1">
        <v>496661.48200000002</v>
      </c>
      <c r="U49" s="1">
        <v>554699.54799999995</v>
      </c>
      <c r="V49" s="1">
        <v>564816.69700000004</v>
      </c>
      <c r="W49" s="157">
        <v>604868.54700000002</v>
      </c>
      <c r="X49" s="157">
        <v>684184.01699999999</v>
      </c>
      <c r="Y49" s="157">
        <v>737898.647</v>
      </c>
      <c r="Z49" s="157">
        <v>841948.39800000004</v>
      </c>
      <c r="AA49" s="157">
        <v>798964.04799999995</v>
      </c>
      <c r="AB49" s="157">
        <v>741366.93099999998</v>
      </c>
      <c r="AC49" s="157">
        <v>763874</v>
      </c>
      <c r="AD49" s="1">
        <v>755072.99</v>
      </c>
      <c r="AE49" s="1">
        <v>802232.64500000002</v>
      </c>
      <c r="AF49" s="1">
        <v>822818.60800000001</v>
      </c>
      <c r="AG49" s="1">
        <v>907913.94299999997</v>
      </c>
      <c r="AH49" s="1">
        <v>858378.46100000001</v>
      </c>
      <c r="AI49" s="1">
        <v>904445.30500000005</v>
      </c>
      <c r="AK49" s="1">
        <v>950164.74899999995</v>
      </c>
    </row>
    <row r="50" spans="1:37" ht="12.75" customHeight="1">
      <c r="A50" s="1" t="s">
        <v>62</v>
      </c>
      <c r="J50" s="157">
        <v>10964.546999999999</v>
      </c>
      <c r="M50" s="1">
        <v>14389.019</v>
      </c>
      <c r="O50" s="1">
        <v>13309.392390000001</v>
      </c>
      <c r="R50" s="20">
        <v>20539.706000000002</v>
      </c>
      <c r="S50" s="1">
        <v>24612.198999999997</v>
      </c>
      <c r="T50" s="1">
        <v>24461.64</v>
      </c>
      <c r="U50" s="1">
        <v>21204.111000000001</v>
      </c>
      <c r="V50" s="1">
        <v>20106.171999999999</v>
      </c>
      <c r="W50" s="157">
        <v>26413.659</v>
      </c>
      <c r="X50" s="157">
        <v>28324.328000000001</v>
      </c>
      <c r="Y50" s="157">
        <v>30832.42</v>
      </c>
      <c r="Z50" s="157">
        <v>31185.710999999999</v>
      </c>
      <c r="AA50" s="157">
        <v>33104.019</v>
      </c>
      <c r="AB50" s="157">
        <v>32445.865000000002</v>
      </c>
      <c r="AC50" s="157">
        <v>32164</v>
      </c>
      <c r="AD50" s="1">
        <v>41636.862000000001</v>
      </c>
      <c r="AE50" s="1">
        <v>50587.341999999997</v>
      </c>
      <c r="AF50" s="1">
        <v>50782.302000000003</v>
      </c>
      <c r="AG50" s="1">
        <v>55324.156999999999</v>
      </c>
      <c r="AH50" s="1">
        <v>56034.877</v>
      </c>
      <c r="AI50" s="1">
        <v>64877.358</v>
      </c>
      <c r="AK50" s="1">
        <v>76201.686000000002</v>
      </c>
    </row>
    <row r="51" spans="1:37" ht="12.75" customHeight="1">
      <c r="A51" s="30" t="s">
        <v>63</v>
      </c>
      <c r="B51" s="30"/>
      <c r="C51" s="30"/>
      <c r="D51" s="30"/>
      <c r="E51" s="30"/>
      <c r="F51" s="30"/>
      <c r="G51" s="30"/>
      <c r="H51" s="30"/>
      <c r="I51" s="30"/>
      <c r="J51" s="158">
        <v>142396.201</v>
      </c>
      <c r="K51" s="30"/>
      <c r="L51" s="30"/>
      <c r="M51" s="30">
        <v>153100.91800000001</v>
      </c>
      <c r="N51" s="30"/>
      <c r="O51" s="30">
        <v>197990.731</v>
      </c>
      <c r="P51" s="30"/>
      <c r="Q51" s="30"/>
      <c r="R51" s="40">
        <v>269474.40899999999</v>
      </c>
      <c r="S51" s="30">
        <v>287848.09700000001</v>
      </c>
      <c r="T51" s="30">
        <v>286744.51699999999</v>
      </c>
      <c r="U51" s="30">
        <v>346920.09499999997</v>
      </c>
      <c r="V51" s="30">
        <v>362650.46500000003</v>
      </c>
      <c r="W51" s="158">
        <v>430092.91599999997</v>
      </c>
      <c r="X51" s="158">
        <v>418083.77899999998</v>
      </c>
      <c r="Y51" s="158">
        <v>443807.71799999999</v>
      </c>
      <c r="Z51" s="158">
        <v>493493.74599999998</v>
      </c>
      <c r="AA51" s="158">
        <v>507580.84899999999</v>
      </c>
      <c r="AB51" s="158">
        <v>562689.62800000003</v>
      </c>
      <c r="AC51" s="158">
        <v>556029</v>
      </c>
      <c r="AD51" s="30">
        <v>595314.94499999995</v>
      </c>
      <c r="AE51" s="30">
        <v>666195.53200000001</v>
      </c>
      <c r="AF51" s="30">
        <v>606327.85199999996</v>
      </c>
      <c r="AG51" s="30">
        <v>656396.99300000002</v>
      </c>
      <c r="AH51" s="30">
        <v>675099.62</v>
      </c>
      <c r="AI51" s="30">
        <v>779158.09400000004</v>
      </c>
      <c r="AJ51" s="30"/>
      <c r="AK51" s="30">
        <v>790569.98600000003</v>
      </c>
    </row>
    <row r="52" spans="1:37" ht="12.75" customHeight="1">
      <c r="A52" s="6" t="s">
        <v>64</v>
      </c>
      <c r="J52" s="58">
        <f>SUM(J54:J62)</f>
        <v>841389.71800000011</v>
      </c>
      <c r="M52" s="58">
        <f>SUM(M54:M62)</f>
        <v>1019603.8380000001</v>
      </c>
      <c r="O52" s="58">
        <f>SUM(O54:O62)</f>
        <v>1417626.4069999999</v>
      </c>
      <c r="R52" s="58">
        <f t="shared" ref="R52:AK52" si="17">SUM(R54:R62)</f>
        <v>1379004.2660000001</v>
      </c>
      <c r="S52" s="58">
        <f t="shared" si="17"/>
        <v>1485031.5400000003</v>
      </c>
      <c r="T52" s="58">
        <f t="shared" si="17"/>
        <v>1405957.7249999999</v>
      </c>
      <c r="U52" s="58">
        <f t="shared" si="17"/>
        <v>1336840.0430000001</v>
      </c>
      <c r="V52" s="58">
        <f t="shared" si="17"/>
        <v>1543265.3529999999</v>
      </c>
      <c r="W52" s="58">
        <f t="shared" si="17"/>
        <v>1690182.959</v>
      </c>
      <c r="X52" s="58">
        <f t="shared" si="17"/>
        <v>1837893.2169999997</v>
      </c>
      <c r="Y52" s="58">
        <f t="shared" si="17"/>
        <v>1948480.2149999999</v>
      </c>
      <c r="Z52" s="58">
        <f t="shared" si="17"/>
        <v>1983569.983</v>
      </c>
      <c r="AA52" s="58">
        <f t="shared" si="17"/>
        <v>1831683.9380000001</v>
      </c>
      <c r="AB52" s="58">
        <f t="shared" si="17"/>
        <v>2170631.4219999998</v>
      </c>
      <c r="AC52" s="58">
        <f t="shared" si="17"/>
        <v>2199124</v>
      </c>
      <c r="AD52" s="58">
        <f t="shared" si="17"/>
        <v>2277440.1159999999</v>
      </c>
      <c r="AE52" s="58">
        <f t="shared" si="17"/>
        <v>2254155.9369999999</v>
      </c>
      <c r="AF52" s="58">
        <f t="shared" si="17"/>
        <v>2401252.932</v>
      </c>
      <c r="AG52" s="58">
        <f t="shared" si="17"/>
        <v>2544311.4710000004</v>
      </c>
      <c r="AH52" s="58">
        <f t="shared" si="17"/>
        <v>2560484.9050000003</v>
      </c>
      <c r="AI52" s="58">
        <f t="shared" si="17"/>
        <v>2636614.64</v>
      </c>
      <c r="AJ52" s="58">
        <f t="shared" si="17"/>
        <v>0</v>
      </c>
      <c r="AK52" s="58">
        <f t="shared" si="17"/>
        <v>3047962.1640000003</v>
      </c>
    </row>
    <row r="53" spans="1:37" ht="12.75" customHeight="1">
      <c r="A53" s="6" t="s">
        <v>94</v>
      </c>
      <c r="AA53" s="10">
        <v>0</v>
      </c>
    </row>
    <row r="54" spans="1:37" ht="12.75" customHeight="1">
      <c r="A54" s="1" t="s">
        <v>65</v>
      </c>
      <c r="J54" s="157">
        <v>40247.892999999996</v>
      </c>
      <c r="M54" s="1">
        <v>56916.11</v>
      </c>
      <c r="O54" s="1">
        <v>48766.284</v>
      </c>
      <c r="R54" s="20">
        <v>66989.266999999993</v>
      </c>
      <c r="S54" s="1">
        <v>70062.957999999999</v>
      </c>
      <c r="T54" s="1">
        <v>50653.561000000002</v>
      </c>
      <c r="U54" s="1">
        <v>83548.573000000004</v>
      </c>
      <c r="V54" s="1">
        <v>96823.828999999998</v>
      </c>
      <c r="W54" s="157">
        <v>76590.342000000004</v>
      </c>
      <c r="X54" s="157">
        <v>135761.29</v>
      </c>
      <c r="Y54" s="157">
        <v>94641.993000000002</v>
      </c>
      <c r="Z54" s="157">
        <v>131342.27100000001</v>
      </c>
      <c r="AA54" s="157">
        <v>109546.886</v>
      </c>
      <c r="AB54" s="157">
        <v>104099.249</v>
      </c>
      <c r="AC54" s="157">
        <v>107330</v>
      </c>
      <c r="AD54" s="1">
        <v>113549.808</v>
      </c>
      <c r="AE54" s="1">
        <v>146600.326</v>
      </c>
      <c r="AF54" s="1">
        <v>114827.856</v>
      </c>
      <c r="AG54" s="1">
        <v>135735.67600000001</v>
      </c>
      <c r="AH54" s="1">
        <v>137602.27299999999</v>
      </c>
      <c r="AI54" s="1">
        <v>130386.217</v>
      </c>
      <c r="AK54" s="1">
        <v>138831.58300000001</v>
      </c>
    </row>
    <row r="55" spans="1:37" ht="12.75" customHeight="1">
      <c r="A55" s="1" t="s">
        <v>66</v>
      </c>
      <c r="J55" s="157">
        <v>21464.11</v>
      </c>
      <c r="M55" s="1">
        <v>27754.421999999999</v>
      </c>
      <c r="O55" s="1">
        <v>37684.437000000005</v>
      </c>
      <c r="R55" s="20">
        <v>47117.127</v>
      </c>
      <c r="S55" s="1">
        <v>54062.54</v>
      </c>
      <c r="T55" s="1">
        <v>56352.218999999997</v>
      </c>
      <c r="U55" s="1">
        <v>58025.034</v>
      </c>
      <c r="V55" s="1">
        <v>60818.826999999997</v>
      </c>
      <c r="W55" s="157">
        <v>66480.596999999994</v>
      </c>
      <c r="X55" s="157">
        <v>66627.881999999998</v>
      </c>
      <c r="Y55" s="157">
        <v>66297.512000000002</v>
      </c>
      <c r="Z55" s="157">
        <v>70477.222999999998</v>
      </c>
      <c r="AA55" s="157">
        <v>76652.084000000003</v>
      </c>
      <c r="AB55" s="157">
        <v>71667.633000000002</v>
      </c>
      <c r="AC55" s="157">
        <v>71170</v>
      </c>
      <c r="AD55" s="1">
        <v>64879.834999999999</v>
      </c>
      <c r="AE55" s="1">
        <v>51086.214999999997</v>
      </c>
      <c r="AF55" s="1">
        <v>49300.196000000004</v>
      </c>
      <c r="AG55" s="1">
        <v>52331.381999999998</v>
      </c>
      <c r="AH55" s="1">
        <v>56090.362999999998</v>
      </c>
      <c r="AI55" s="1">
        <v>54404.203000000001</v>
      </c>
      <c r="AK55" s="1">
        <v>62268.116999999998</v>
      </c>
    </row>
    <row r="56" spans="1:37" ht="12.75" customHeight="1">
      <c r="A56" s="1" t="s">
        <v>67</v>
      </c>
      <c r="J56" s="157">
        <v>71685.239000000001</v>
      </c>
      <c r="M56" s="1">
        <v>84776.8</v>
      </c>
      <c r="O56" s="1">
        <v>97291.931000000011</v>
      </c>
      <c r="R56" s="20">
        <v>129067.80900000001</v>
      </c>
      <c r="S56" s="1">
        <v>146135.96399999998</v>
      </c>
      <c r="T56" s="1">
        <v>146967.41899999999</v>
      </c>
      <c r="U56" s="1">
        <v>144163.81899999999</v>
      </c>
      <c r="V56" s="1">
        <v>153972.59899999999</v>
      </c>
      <c r="W56" s="157">
        <v>170368.06700000001</v>
      </c>
      <c r="X56" s="157">
        <v>187850.89300000001</v>
      </c>
      <c r="Y56" s="157">
        <v>197002.33</v>
      </c>
      <c r="Z56" s="157">
        <v>215978.70199999999</v>
      </c>
      <c r="AA56" s="157">
        <v>129918.65399999999</v>
      </c>
      <c r="AB56" s="157">
        <v>216890.52600000001</v>
      </c>
      <c r="AC56" s="157">
        <v>218449</v>
      </c>
      <c r="AD56" s="1">
        <v>221632.89799999999</v>
      </c>
      <c r="AE56" s="1">
        <v>225659.84899999999</v>
      </c>
      <c r="AF56" s="1">
        <v>240274.39</v>
      </c>
      <c r="AG56" s="1">
        <v>248522.47500000001</v>
      </c>
      <c r="AH56" s="1">
        <v>267499.74200000003</v>
      </c>
      <c r="AI56" s="1">
        <v>256046.15100000001</v>
      </c>
      <c r="AK56" s="1">
        <v>303504.36099999998</v>
      </c>
    </row>
    <row r="57" spans="1:37" ht="12.75" customHeight="1">
      <c r="A57" s="1" t="s">
        <v>68</v>
      </c>
      <c r="J57" s="157">
        <v>18644.948</v>
      </c>
      <c r="M57" s="1">
        <v>27186.124</v>
      </c>
      <c r="O57" s="1">
        <v>28350.627</v>
      </c>
      <c r="R57" s="27">
        <v>36400.826000000001</v>
      </c>
      <c r="S57" s="1">
        <v>37536.167999999998</v>
      </c>
      <c r="T57" s="1">
        <v>38436.881000000001</v>
      </c>
      <c r="U57" s="1">
        <v>37350.682999999997</v>
      </c>
      <c r="V57" s="1">
        <v>39157.156000000003</v>
      </c>
      <c r="W57" s="157">
        <v>40199.417000000001</v>
      </c>
      <c r="X57" s="157">
        <v>41836.305999999997</v>
      </c>
      <c r="Y57" s="157">
        <v>49916.959999999999</v>
      </c>
      <c r="Z57" s="157">
        <v>53158.972000000002</v>
      </c>
      <c r="AA57" s="157">
        <v>51920.341</v>
      </c>
      <c r="AB57" s="157">
        <v>58159.733999999997</v>
      </c>
      <c r="AC57" s="157">
        <v>74490</v>
      </c>
      <c r="AD57" s="1">
        <v>67684.53</v>
      </c>
      <c r="AE57" s="1">
        <v>64902.150999999998</v>
      </c>
      <c r="AF57" s="1">
        <v>58378.36</v>
      </c>
      <c r="AG57" s="1">
        <v>58859.040999999997</v>
      </c>
      <c r="AH57" s="1">
        <v>67618.892000000007</v>
      </c>
      <c r="AI57" s="1">
        <v>62302.654000000002</v>
      </c>
      <c r="AK57" s="1">
        <v>66495.304000000004</v>
      </c>
    </row>
    <row r="58" spans="1:37" ht="12.75" customHeight="1">
      <c r="A58" s="1" t="s">
        <v>69</v>
      </c>
      <c r="J58" s="157">
        <v>93579.430999999997</v>
      </c>
      <c r="M58" s="1">
        <v>111871.74800000001</v>
      </c>
      <c r="O58" s="1">
        <v>220395.45300000001</v>
      </c>
      <c r="R58" s="27">
        <v>177969.70500000002</v>
      </c>
      <c r="S58" s="1">
        <v>210652.136</v>
      </c>
      <c r="T58" s="1">
        <v>240291.649</v>
      </c>
      <c r="U58" s="1">
        <v>233181.99100000001</v>
      </c>
      <c r="V58" s="1">
        <v>242593.10500000001</v>
      </c>
      <c r="W58" s="157">
        <v>415841.52500000002</v>
      </c>
      <c r="X58" s="157">
        <v>424113.64399999997</v>
      </c>
      <c r="Y58" s="157">
        <v>479622.00099999999</v>
      </c>
      <c r="Z58" s="157">
        <v>496229.962</v>
      </c>
      <c r="AA58" s="157">
        <v>384931.06199999998</v>
      </c>
      <c r="AB58" s="157">
        <v>558286.75800000003</v>
      </c>
      <c r="AC58" s="157">
        <v>555380</v>
      </c>
      <c r="AD58" s="1">
        <v>560017.14500000002</v>
      </c>
      <c r="AE58" s="1">
        <v>414553.84399999998</v>
      </c>
      <c r="AF58" s="1">
        <v>594068.68599999999</v>
      </c>
      <c r="AG58" s="1">
        <v>634842.89300000004</v>
      </c>
      <c r="AH58" s="1">
        <v>629684.745</v>
      </c>
      <c r="AI58" s="1">
        <v>672728.70499999996</v>
      </c>
      <c r="AK58" s="1">
        <v>733167.81900000002</v>
      </c>
    </row>
    <row r="59" spans="1:37" ht="12.75" customHeight="1">
      <c r="A59" s="1" t="s">
        <v>70</v>
      </c>
      <c r="J59" s="157">
        <v>338148.092</v>
      </c>
      <c r="M59" s="1">
        <v>398172.163</v>
      </c>
      <c r="O59" s="1">
        <v>575909.28099999996</v>
      </c>
      <c r="R59" s="27">
        <v>489448.62800000003</v>
      </c>
      <c r="S59" s="1">
        <v>545100.05000000005</v>
      </c>
      <c r="T59" s="1">
        <v>602999.10100000002</v>
      </c>
      <c r="U59" s="1">
        <v>583174.93999999994</v>
      </c>
      <c r="V59" s="1">
        <v>740825.61399999994</v>
      </c>
      <c r="W59" s="157">
        <v>717150.87199999997</v>
      </c>
      <c r="X59" s="157">
        <v>766372.7</v>
      </c>
      <c r="Y59" s="157">
        <v>825789.603</v>
      </c>
      <c r="Z59" s="157">
        <v>782690.63300000003</v>
      </c>
      <c r="AA59" s="157">
        <v>865744.56700000004</v>
      </c>
      <c r="AB59" s="157">
        <v>927657.45700000005</v>
      </c>
      <c r="AC59" s="157">
        <v>942011</v>
      </c>
      <c r="AD59" s="1">
        <v>1003708.915</v>
      </c>
      <c r="AE59" s="1">
        <v>1110747.2009999999</v>
      </c>
      <c r="AF59" s="1">
        <v>1087823.905</v>
      </c>
      <c r="AG59" s="1">
        <v>1164385.5889999999</v>
      </c>
      <c r="AH59" s="1">
        <v>1133056.9129999999</v>
      </c>
      <c r="AI59" s="1">
        <v>1191847.804</v>
      </c>
      <c r="AK59" s="1">
        <v>1450097.719</v>
      </c>
    </row>
    <row r="60" spans="1:37" ht="12.75" customHeight="1">
      <c r="A60" s="1" t="s">
        <v>71</v>
      </c>
      <c r="J60" s="157">
        <v>223554.91100000002</v>
      </c>
      <c r="M60" s="1">
        <v>271931.04700000002</v>
      </c>
      <c r="O60" s="1">
        <v>363198.38699999999</v>
      </c>
      <c r="R60" s="20">
        <v>373587.28</v>
      </c>
      <c r="S60" s="1">
        <v>357544.95499999996</v>
      </c>
      <c r="T60" s="1">
        <v>191410.63</v>
      </c>
      <c r="U60" s="1">
        <v>112830.387</v>
      </c>
      <c r="V60" s="1">
        <v>122414.38499999999</v>
      </c>
      <c r="W60" s="157">
        <v>117747.59600000001</v>
      </c>
      <c r="X60" s="157">
        <v>125168.7</v>
      </c>
      <c r="Y60" s="157">
        <v>142707.859</v>
      </c>
      <c r="Z60" s="157">
        <v>149211.86300000001</v>
      </c>
      <c r="AA60" s="157">
        <v>129642.167</v>
      </c>
      <c r="AB60" s="157">
        <v>138898.85500000001</v>
      </c>
      <c r="AC60" s="157">
        <v>134595</v>
      </c>
      <c r="AD60" s="1">
        <v>148004.79500000001</v>
      </c>
      <c r="AE60" s="1">
        <v>133903.291</v>
      </c>
      <c r="AF60" s="1">
        <v>144363.96900000001</v>
      </c>
      <c r="AG60" s="1">
        <v>138789.038</v>
      </c>
      <c r="AH60" s="1">
        <v>152345.579</v>
      </c>
      <c r="AI60" s="1">
        <v>146881.47099999999</v>
      </c>
      <c r="AK60" s="1">
        <v>144937.68299999999</v>
      </c>
    </row>
    <row r="61" spans="1:37" ht="12.75" customHeight="1">
      <c r="A61" s="1" t="s">
        <v>72</v>
      </c>
      <c r="J61" s="157">
        <v>8795.24</v>
      </c>
      <c r="M61" s="1">
        <v>8662.9939999999988</v>
      </c>
      <c r="O61" s="1">
        <v>11834.465</v>
      </c>
      <c r="R61" s="20">
        <v>15659.399000000001</v>
      </c>
      <c r="S61" s="1">
        <v>16767.881999999998</v>
      </c>
      <c r="T61" s="1">
        <v>19604.169000000002</v>
      </c>
      <c r="U61" s="1">
        <v>22018.451000000001</v>
      </c>
      <c r="V61" s="1">
        <v>25963.095000000001</v>
      </c>
      <c r="W61" s="157">
        <v>27581.902000000002</v>
      </c>
      <c r="X61" s="157">
        <v>26357.865000000002</v>
      </c>
      <c r="Y61" s="157">
        <v>27961.703000000001</v>
      </c>
      <c r="Z61" s="157">
        <v>29984.098999999998</v>
      </c>
      <c r="AA61" s="157">
        <v>30755.232</v>
      </c>
      <c r="AB61" s="157">
        <v>34978.724999999999</v>
      </c>
      <c r="AC61" s="157">
        <v>39150</v>
      </c>
      <c r="AD61" s="1">
        <v>43355.154000000002</v>
      </c>
      <c r="AE61" s="1">
        <v>23818.812999999998</v>
      </c>
      <c r="AF61" s="1">
        <v>33341.396999999997</v>
      </c>
      <c r="AG61" s="1">
        <v>33771.728000000003</v>
      </c>
      <c r="AH61" s="1">
        <v>34674.377999999997</v>
      </c>
      <c r="AI61" s="1">
        <v>36500.733</v>
      </c>
      <c r="AK61" s="1">
        <v>38372.116999999998</v>
      </c>
    </row>
    <row r="62" spans="1:37" ht="12.75" customHeight="1">
      <c r="A62" s="30" t="s">
        <v>73</v>
      </c>
      <c r="B62" s="30"/>
      <c r="C62" s="30"/>
      <c r="D62" s="30"/>
      <c r="E62" s="30"/>
      <c r="F62" s="30"/>
      <c r="G62" s="30"/>
      <c r="H62" s="30"/>
      <c r="I62" s="30"/>
      <c r="J62" s="158">
        <v>25269.853999999999</v>
      </c>
      <c r="K62" s="30"/>
      <c r="L62" s="30"/>
      <c r="M62" s="30">
        <v>32332.43</v>
      </c>
      <c r="N62" s="30"/>
      <c r="O62" s="30">
        <v>34195.542000000001</v>
      </c>
      <c r="P62" s="30"/>
      <c r="Q62" s="30"/>
      <c r="R62" s="40">
        <v>42764.224999999999</v>
      </c>
      <c r="S62" s="30">
        <v>47168.887000000002</v>
      </c>
      <c r="T62" s="30">
        <v>59242.095999999998</v>
      </c>
      <c r="U62" s="30">
        <v>62546.165000000001</v>
      </c>
      <c r="V62" s="30">
        <v>60696.743000000002</v>
      </c>
      <c r="W62" s="158">
        <v>58222.641000000003</v>
      </c>
      <c r="X62" s="158">
        <v>63803.936999999998</v>
      </c>
      <c r="Y62" s="158">
        <v>64540.254000000001</v>
      </c>
      <c r="Z62" s="158">
        <v>54496.258000000002</v>
      </c>
      <c r="AA62" s="158">
        <v>52572.945</v>
      </c>
      <c r="AB62" s="158">
        <v>59992.485000000001</v>
      </c>
      <c r="AC62" s="158">
        <v>56549</v>
      </c>
      <c r="AD62" s="30">
        <v>54607.036</v>
      </c>
      <c r="AE62" s="30">
        <v>82884.247000000003</v>
      </c>
      <c r="AF62" s="30">
        <v>78874.172999999995</v>
      </c>
      <c r="AG62" s="30">
        <v>77073.649000000005</v>
      </c>
      <c r="AH62" s="30">
        <v>81912.02</v>
      </c>
      <c r="AI62" s="30">
        <v>85516.702000000005</v>
      </c>
      <c r="AJ62" s="30"/>
      <c r="AK62" s="30">
        <v>110287.461</v>
      </c>
    </row>
    <row r="63" spans="1:37">
      <c r="A63" s="56" t="s">
        <v>74</v>
      </c>
      <c r="B63" s="53"/>
      <c r="C63" s="53"/>
      <c r="D63" s="53"/>
      <c r="E63" s="53"/>
      <c r="F63" s="53"/>
      <c r="G63" s="53"/>
      <c r="H63" s="53"/>
      <c r="I63" s="53"/>
      <c r="J63" s="159">
        <v>6738.5890000000009</v>
      </c>
      <c r="K63" s="53"/>
      <c r="L63" s="53"/>
      <c r="M63" s="53">
        <v>7993.66</v>
      </c>
      <c r="N63" s="53"/>
      <c r="O63" s="53">
        <v>7757.1416600000002</v>
      </c>
      <c r="P63" s="53"/>
      <c r="Q63" s="53"/>
      <c r="R63" s="54">
        <v>7542.6390000000001</v>
      </c>
      <c r="S63" s="53">
        <v>8861.1740000000009</v>
      </c>
      <c r="T63" s="53">
        <v>8907.2170000000006</v>
      </c>
      <c r="U63" s="53">
        <v>6057.4129999999996</v>
      </c>
      <c r="V63" s="53">
        <v>9550.9869999999992</v>
      </c>
      <c r="W63" s="159">
        <v>11797.191000000001</v>
      </c>
      <c r="X63" s="159">
        <v>12017.323</v>
      </c>
      <c r="Y63" s="159">
        <v>12911.321</v>
      </c>
      <c r="Z63" s="159">
        <v>11369.3</v>
      </c>
      <c r="AA63" s="159">
        <v>11858.687</v>
      </c>
      <c r="AB63" s="159">
        <v>14555.546</v>
      </c>
      <c r="AC63" s="159">
        <v>11800</v>
      </c>
      <c r="AD63" s="30">
        <v>13736.311</v>
      </c>
      <c r="AE63" s="30">
        <v>11160.235000000001</v>
      </c>
      <c r="AF63" s="30">
        <v>8617.4339999999993</v>
      </c>
      <c r="AG63" s="30">
        <v>7027.9309999999996</v>
      </c>
      <c r="AH63" s="30">
        <v>8346.4560000000001</v>
      </c>
      <c r="AI63" s="30">
        <v>6838.5469999999996</v>
      </c>
      <c r="AJ63" s="30"/>
      <c r="AK63" s="30">
        <v>8145.6959999999999</v>
      </c>
    </row>
    <row r="64" spans="1:37" ht="12.75" customHeight="1"/>
    <row r="65" spans="2:29" ht="12.75" customHeight="1">
      <c r="B65" s="1" t="s">
        <v>95</v>
      </c>
    </row>
    <row r="66" spans="2:29" ht="12.75" customHeight="1">
      <c r="M66" s="34"/>
      <c r="N66" s="21"/>
      <c r="U66" s="34"/>
      <c r="V66" s="34"/>
      <c r="W66" s="34"/>
      <c r="X66" s="34"/>
      <c r="Y66" s="34"/>
      <c r="Z66" s="34"/>
      <c r="AA66" s="34"/>
      <c r="AB66" s="34"/>
      <c r="AC66" s="34"/>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41"/>
      <c r="N69" s="41"/>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D86F5B-B632-463D-AAC3-AF24D9F94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CA227E-04CE-4F5A-91B5-D058079FB19B}">
  <ds:schemaRefs>
    <ds:schemaRef ds:uri="http://www.w3.org/XML/1998/namespace"/>
    <ds:schemaRef ds:uri="fc2f2499-f938-4cc0-a2cd-f3e7b3a200ae"/>
    <ds:schemaRef ds:uri="d3553cee-4ecc-4eb5-80d8-f24f98131822"/>
    <ds:schemaRef ds:uri="http://purl.org/dc/dcmityp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36B085C8-A91D-4EC2-9431-02052D37A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TABLE 94</vt:lpstr>
      <vt:lpstr>TABLE 95</vt:lpstr>
      <vt:lpstr>Total E&amp;G-4yr</vt:lpstr>
      <vt:lpstr>Total E&amp;G-2Yr</vt:lpstr>
      <vt:lpstr>Tuition-4Yr</vt:lpstr>
      <vt:lpstr>Local Appropriations-4Yr</vt:lpstr>
      <vt:lpstr>State Appropriations-4Yr</vt:lpstr>
      <vt:lpstr>Fed Contracts Grnts-4Yr</vt:lpstr>
      <vt:lpstr>Other Contract Grnts-4Yr</vt:lpstr>
      <vt:lpstr>Investment Income-4Yr</vt:lpstr>
      <vt:lpstr>All Other E&amp;G-4Yr</vt:lpstr>
      <vt:lpstr>Tuition-2Yr</vt:lpstr>
      <vt:lpstr>State Appropriations-2Yr</vt:lpstr>
      <vt:lpstr>Local Appropriations-2Yr</vt:lpstr>
      <vt:lpstr>Fed Contracts Grnts-2Yr</vt:lpstr>
      <vt:lpstr>Other Contracts Grnts-2Yr</vt:lpstr>
      <vt:lpstr>Investment Income-2Yr</vt:lpstr>
      <vt:lpstr>All Other E&amp;G-2Yr</vt:lpstr>
      <vt:lpstr>Sheet1</vt:lpstr>
      <vt:lpstr>DATA</vt:lpstr>
      <vt:lpstr>'TABLE 94'!Print_Area</vt:lpstr>
      <vt:lpstr>'TABLE 95'!Print_Area</vt:lpstr>
      <vt:lpstr>T_78</vt:lpstr>
      <vt:lpstr>T_79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Lounsbury</dc:creator>
  <cp:keywords/>
  <dc:description/>
  <cp:lastModifiedBy>Susan Lounsbury</cp:lastModifiedBy>
  <cp:revision/>
  <dcterms:created xsi:type="dcterms:W3CDTF">1999-03-17T16:07:50Z</dcterms:created>
  <dcterms:modified xsi:type="dcterms:W3CDTF">2021-12-03T08:32:55Z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2019-04-29T18:55:07.1708592Z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